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demecloud-my.sharepoint.com/personal/christophe_gawsewitch_ademe_fr/Documents/02_Aides/Installation/Solaire thermique/SSC/2024/"/>
    </mc:Choice>
  </mc:AlternateContent>
  <xr:revisionPtr revIDLastSave="30" documentId="8_{516EB143-A6E6-49DE-AFF1-F3DD24CB03CB}" xr6:coauthVersionLast="47" xr6:coauthVersionMax="47" xr10:uidLastSave="{2D8FC308-67F7-4BA1-A3E4-859D2069D686}"/>
  <bookViews>
    <workbookView xWindow="-120" yWindow="-120" windowWidth="38640" windowHeight="15840" tabRatio="555" firstSheet="2" activeTab="2" xr2:uid="{56A4F9A1-CCB2-46D2-A9F7-253CFB5D463A}"/>
  </bookViews>
  <sheets>
    <sheet name="Données efficacité energétique" sheetId="22" state="hidden" r:id="rId1"/>
    <sheet name="Paramètres" sheetId="20" state="hidden" r:id="rId2"/>
    <sheet name="Accueil" sheetId="14" r:id="rId3"/>
    <sheet name="Tableau 1 Besoins" sheetId="8" r:id="rId4"/>
    <sheet name="Tableau 2 Installation" sheetId="17" r:id="rId5"/>
    <sheet name="Tableau 3 Production" sheetId="10" r:id="rId6"/>
  </sheets>
  <externalReferences>
    <externalReference r:id="rId7"/>
  </externalReferences>
  <definedNames>
    <definedName name="_xlnm._FilterDatabase" localSheetId="5" hidden="1">'Tableau 3 Production'!$B$3:$G$31</definedName>
    <definedName name="appoint">#REF!</definedName>
    <definedName name="Besoins_utiles_projet">'[1]caractéristiques projet'!$D$12</definedName>
    <definedName name="combustible">#REF!</definedName>
    <definedName name="Création_chauff_app">'[1]caractéristiques projet'!#REF!</definedName>
    <definedName name="essai">#REF!</definedName>
    <definedName name="filtration">#REF!</definedName>
    <definedName name="Grande">#REF!</definedName>
    <definedName name="Liste_Besoins">Paramètres!$A$4:$A$11</definedName>
    <definedName name="Liste_Substitution">Paramètres!$B$5:$B$8</definedName>
    <definedName name="nb_nvle_ss">'[1]caractéristiques projet'!$D$34</definedName>
    <definedName name="ouinon">#REF!</definedName>
    <definedName name="parametres">#REF!</definedName>
    <definedName name="Prix_biomasse">'[1]caractéristiques projet'!$D$22</definedName>
    <definedName name="Prod_biomasse">'[1]caractéristiques projet'!$D$18</definedName>
    <definedName name="Prod_chaud_app">'[1]caractéristiques projet'!$D$27</definedName>
    <definedName name="Puiss_app_exist">'[1]caractéristiques projet'!#REF!</definedName>
    <definedName name="Puiss_appoint">'[1]caractéristiques projet'!$D$26</definedName>
    <definedName name="Puissance_biomasse">'[1]caractéristiques projet'!$D$17</definedName>
    <definedName name="reseau">#REF!</definedName>
    <definedName name="Statut_investisseur">'[1]caractéristiques projet'!$D$10</definedName>
    <definedName name="type_de_projet">#REF!</definedName>
    <definedName name="type_investisseur">#REF!</definedName>
    <definedName name="Type_projet">'[1]caractéristiques projet'!$D$9</definedName>
    <definedName name="Ventes_clients">'[1]caractéristiques projet'!#REF!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0" l="1"/>
  <c r="F5" i="10"/>
  <c r="F6" i="10"/>
  <c r="F4" i="10"/>
  <c r="F7" i="10" l="1"/>
  <c r="L74" i="8" l="1"/>
  <c r="M74" i="8" s="1"/>
  <c r="L75" i="8"/>
  <c r="M75" i="8" s="1"/>
  <c r="L76" i="8"/>
  <c r="M76" i="8" s="1"/>
  <c r="L77" i="8"/>
  <c r="M77" i="8" s="1"/>
  <c r="H74" i="8" l="1"/>
  <c r="H75" i="8"/>
  <c r="H76" i="8"/>
  <c r="H77" i="8"/>
  <c r="C78" i="8"/>
  <c r="D78" i="8"/>
  <c r="E78" i="8"/>
  <c r="F78" i="8"/>
  <c r="G78" i="8"/>
  <c r="I78" i="8"/>
  <c r="J78" i="8"/>
  <c r="K78" i="8"/>
  <c r="H78" i="8" l="1"/>
  <c r="L78" i="8"/>
  <c r="B13" i="22"/>
  <c r="C13" i="22"/>
  <c r="D13" i="22"/>
  <c r="E13" i="22"/>
  <c r="F13" i="22"/>
  <c r="G13" i="22"/>
  <c r="H13" i="22"/>
  <c r="I13" i="22"/>
  <c r="J13" i="22"/>
  <c r="K13" i="22"/>
  <c r="L13" i="22"/>
  <c r="M13" i="22"/>
  <c r="F20" i="22"/>
  <c r="E25" i="22"/>
  <c r="F25" i="22"/>
  <c r="E26" i="22"/>
  <c r="F26" i="22"/>
  <c r="E27" i="22"/>
  <c r="F27" i="22"/>
  <c r="O27" i="22"/>
  <c r="O28" i="22"/>
  <c r="O29" i="22"/>
  <c r="Q29" i="22" s="1"/>
  <c r="O30" i="22"/>
  <c r="O31" i="22"/>
  <c r="E32" i="22"/>
  <c r="F32" i="22"/>
  <c r="G32" i="22"/>
  <c r="O32" i="22"/>
  <c r="N49" i="22"/>
  <c r="P49" i="22"/>
  <c r="AN50" i="22"/>
  <c r="AO50" i="22"/>
  <c r="AP50" i="22"/>
  <c r="AQ50" i="22"/>
  <c r="AR50" i="22"/>
  <c r="AS50" i="22"/>
  <c r="AT50" i="22"/>
  <c r="AU50" i="22"/>
  <c r="AV50" i="22"/>
  <c r="AW50" i="22"/>
  <c r="AX50" i="22"/>
  <c r="D22" i="20" l="1"/>
  <c r="F22" i="20"/>
  <c r="D23" i="20"/>
  <c r="E23" i="20"/>
  <c r="F23" i="20"/>
  <c r="G23" i="20"/>
  <c r="D24" i="20"/>
  <c r="E24" i="20"/>
  <c r="F24" i="20"/>
  <c r="F27" i="20" s="1"/>
  <c r="G24" i="20"/>
  <c r="C27" i="20"/>
  <c r="C28" i="20"/>
  <c r="C29" i="20"/>
  <c r="K30" i="10" s="1"/>
  <c r="C30" i="20"/>
  <c r="C31" i="20"/>
  <c r="L29" i="10"/>
  <c r="I29" i="10"/>
  <c r="E16" i="10"/>
  <c r="D25" i="20" s="1"/>
  <c r="F16" i="10"/>
  <c r="F25" i="20" s="1"/>
  <c r="E22" i="10"/>
  <c r="E25" i="20" s="1"/>
  <c r="F22" i="10"/>
  <c r="G25" i="20" s="1"/>
  <c r="I30" i="10"/>
  <c r="F29" i="20" l="1"/>
  <c r="G29" i="20" s="1"/>
  <c r="F26" i="20"/>
  <c r="F28" i="20"/>
  <c r="F31" i="20"/>
  <c r="G31" i="20" s="1"/>
  <c r="D29" i="20"/>
  <c r="D31" i="20"/>
  <c r="D27" i="20"/>
  <c r="G28" i="20"/>
  <c r="D30" i="20"/>
  <c r="D26" i="20"/>
  <c r="G27" i="20"/>
  <c r="J30" i="10"/>
  <c r="F30" i="20"/>
  <c r="G30" i="20" s="1"/>
  <c r="D28" i="20"/>
  <c r="N30" i="10"/>
  <c r="L30" i="10"/>
  <c r="M30" i="10"/>
  <c r="F27" i="10"/>
  <c r="E27" i="20" l="1"/>
  <c r="E30" i="20"/>
  <c r="E31" i="20"/>
  <c r="E29" i="20"/>
  <c r="K31" i="10" s="1"/>
  <c r="E28" i="20"/>
  <c r="G32" i="20"/>
  <c r="M31" i="10"/>
  <c r="I31" i="10"/>
  <c r="L31" i="10"/>
  <c r="J31" i="10"/>
  <c r="N31" i="10"/>
  <c r="E32" i="20" l="1"/>
  <c r="F30" i="10"/>
  <c r="J23" i="17" l="1"/>
  <c r="J28" i="8" l="1"/>
  <c r="C28" i="8" l="1"/>
  <c r="C9" i="8"/>
  <c r="F8" i="10" s="1"/>
  <c r="R33" i="17" l="1"/>
  <c r="R32" i="17"/>
  <c r="E26" i="10"/>
  <c r="F24" i="10"/>
  <c r="F23" i="10"/>
  <c r="E23" i="10"/>
  <c r="F25" i="10"/>
  <c r="E25" i="10"/>
  <c r="F26" i="10"/>
  <c r="E27" i="10"/>
  <c r="F9" i="10" s="1"/>
  <c r="F29" i="10" l="1"/>
  <c r="F28" i="10"/>
  <c r="D46" i="8"/>
  <c r="G34" i="17" s="1"/>
  <c r="E46" i="8"/>
  <c r="H34" i="17" s="1"/>
  <c r="F46" i="8"/>
  <c r="I34" i="17" s="1"/>
  <c r="G46" i="8"/>
  <c r="J34" i="17" s="1"/>
  <c r="H46" i="8"/>
  <c r="K34" i="17" s="1"/>
  <c r="I46" i="8"/>
  <c r="L34" i="17" s="1"/>
  <c r="J46" i="8"/>
  <c r="M34" i="17" s="1"/>
  <c r="K46" i="8"/>
  <c r="N34" i="17" s="1"/>
  <c r="L46" i="8"/>
  <c r="O34" i="17" s="1"/>
  <c r="M46" i="8"/>
  <c r="P34" i="17" s="1"/>
  <c r="N46" i="8"/>
  <c r="Q34" i="17" s="1"/>
  <c r="C46" i="8"/>
  <c r="F34" i="17" s="1"/>
  <c r="O43" i="8"/>
  <c r="O45" i="8"/>
  <c r="O44" i="8"/>
  <c r="G35" i="17" l="1"/>
  <c r="G31" i="17"/>
  <c r="G30" i="17" s="1"/>
  <c r="N35" i="17"/>
  <c r="N31" i="17"/>
  <c r="N30" i="17" s="1"/>
  <c r="M35" i="17"/>
  <c r="M31" i="17"/>
  <c r="M30" i="17" s="1"/>
  <c r="L35" i="17"/>
  <c r="L31" i="17"/>
  <c r="L30" i="17" s="1"/>
  <c r="K35" i="17"/>
  <c r="K31" i="17"/>
  <c r="K30" i="17" s="1"/>
  <c r="F35" i="17"/>
  <c r="F31" i="17"/>
  <c r="F30" i="17" s="1"/>
  <c r="R34" i="17"/>
  <c r="J35" i="17"/>
  <c r="J31" i="17"/>
  <c r="J30" i="17" s="1"/>
  <c r="Q35" i="17"/>
  <c r="Q31" i="17"/>
  <c r="Q30" i="17" s="1"/>
  <c r="I35" i="17"/>
  <c r="I31" i="17"/>
  <c r="I30" i="17" s="1"/>
  <c r="O35" i="17"/>
  <c r="O31" i="17"/>
  <c r="O30" i="17" s="1"/>
  <c r="P35" i="17"/>
  <c r="P31" i="17"/>
  <c r="P30" i="17" s="1"/>
  <c r="H35" i="17"/>
  <c r="H31" i="17"/>
  <c r="H30" i="17" s="1"/>
  <c r="O46" i="8"/>
  <c r="R30" i="17" l="1"/>
  <c r="R35" i="17"/>
  <c r="S35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tc={C177CCC1-E21E-4AB7-A01B-3289AA499B0C}</author>
  </authors>
  <commentList>
    <comment ref="B4" authorId="0" shapeId="0" xr:uid="{C177CCC1-E21E-4AB7-A01B-3289AA499B0C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Sources données: CEREN 2021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MORLOT Rodolphe</author>
    <author>tc={DED02622-DAF7-42A5-A9C4-52F9586CEBF6}</author>
    <author>tc={EA98E4B0-B670-4284-80DE-B55DD0BFC522}</author>
    <author>tc={8E9FA39F-3FB0-4B36-B282-CBCC03EEFBDB}</author>
    <author>tc={3499043C-9172-4E2E-BA3E-E55A9AFE9BBA}</author>
  </authors>
  <commentList>
    <comment ref="B8" authorId="0" shapeId="0" xr:uid="{00000000-0006-0000-0200-000001000000}">
      <text>
        <r>
          <rPr>
            <sz val="9"/>
            <color indexed="81"/>
            <rFont val="Tahoma"/>
            <family val="2"/>
          </rPr>
          <t>Le cas échéant</t>
        </r>
      </text>
    </comment>
    <comment ref="B26" authorId="0" shapeId="0" xr:uid="{00000000-0006-0000-0200-000002000000}">
      <text>
        <r>
          <rPr>
            <sz val="9"/>
            <color indexed="81"/>
            <rFont val="Tahoma"/>
            <family val="2"/>
          </rPr>
          <t>Rappel :
si Pertes ECS = Besoins ECS,
alors gestes de MDE conformes à l'audit énergétiques obligatoires</t>
        </r>
      </text>
    </comment>
    <comment ref="B27" authorId="0" shapeId="0" xr:uid="{00000000-0006-0000-0200-000003000000}">
      <text>
        <r>
          <rPr>
            <sz val="9"/>
            <color indexed="81"/>
            <rFont val="Tahoma"/>
            <family val="2"/>
          </rPr>
          <t>Le cas échéant</t>
        </r>
      </text>
    </comment>
    <comment ref="B73" authorId="1" shapeId="0" xr:uid="{DED02622-DAF7-42A5-A9C4-52F9586CEBF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Ajout aout 2023</t>
      </text>
    </comment>
    <comment ref="E73" authorId="2" shapeId="0" xr:uid="{EA98E4B0-B670-4284-80DE-B55DD0BFC52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Rougis si conso au-delà du plafond</t>
      </text>
    </comment>
    <comment ref="L73" authorId="3" shapeId="0" xr:uid="{8E9FA39F-3FB0-4B36-B282-CBCC03EEFBD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Seuil d'efficacité énergétique</t>
      </text>
    </comment>
    <comment ref="M73" authorId="4" shapeId="0" xr:uid="{3499043C-9172-4E2E-BA3E-E55A9AFE9BB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Signale "Faible efficacité énergétique" ou "vigilance ECS"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MORLOT Rodolphe</author>
  </authors>
  <commentList>
    <comment ref="C8" authorId="0" shapeId="0" xr:uid="{00000000-0006-0000-0300-000001000000}">
      <text>
        <r>
          <rPr>
            <sz val="9"/>
            <color indexed="81"/>
            <rFont val="Tahoma"/>
            <family val="2"/>
          </rPr>
          <t>Le cas échéant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GAWSEWITCH Christophe</author>
    <author>MORLOT Rodolphe</author>
    <author>BERTHOMIEU Nadine</author>
  </authors>
  <commentList>
    <comment ref="F5" authorId="0" shapeId="0" xr:uid="{4E207613-1307-47E0-A24B-CD42D8DB51B5}">
      <text>
        <r>
          <rPr>
            <sz val="9"/>
            <color indexed="81"/>
            <rFont val="Tahoma"/>
            <family val="2"/>
          </rPr>
          <t xml:space="preserve">= Production solaire utile prévisionnelle de l'onglet "Tableau 2 Installation" </t>
        </r>
      </text>
    </comment>
    <comment ref="F8" authorId="1" shapeId="0" xr:uid="{00000000-0006-0000-0400-000001000000}">
      <text>
        <r>
          <rPr>
            <sz val="9"/>
            <color indexed="81"/>
            <rFont val="Tahoma"/>
            <family val="2"/>
          </rPr>
          <t>Prod. Solaire utile /
Consommation Prod. Eau Chaude de l'onglet
"Tableau 1 Besoins" (tableau 1a ou 1b)</t>
        </r>
      </text>
    </comment>
    <comment ref="F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
Fsav = 1 - Conso NRJ_Appoint+Solaire / Conso NRJ_Appoint initial, doit être FSAV &gt;30 %</t>
        </r>
      </text>
    </comment>
    <comment ref="F10" authorId="2" shapeId="0" xr:uid="{00000000-0006-0000-0400-000003000000}">
      <text>
        <r>
          <rPr>
            <sz val="9"/>
            <color indexed="81"/>
            <rFont val="Tahoma"/>
            <family val="2"/>
          </rPr>
          <t>T</t>
        </r>
        <r>
          <rPr>
            <vertAlign val="subscript"/>
            <sz val="9"/>
            <color indexed="81"/>
            <rFont val="Tahoma"/>
            <family val="2"/>
          </rPr>
          <t>aux</t>
        </r>
        <r>
          <rPr>
            <sz val="9"/>
            <color indexed="81"/>
            <rFont val="Tahoma"/>
            <family val="2"/>
          </rPr>
          <t xml:space="preserve"> = W</t>
        </r>
        <r>
          <rPr>
            <vertAlign val="subscript"/>
            <sz val="9"/>
            <color indexed="81"/>
            <rFont val="Tahoma"/>
            <family val="2"/>
          </rPr>
          <t>aux</t>
        </r>
        <r>
          <rPr>
            <sz val="9"/>
            <color indexed="81"/>
            <rFont val="Tahoma"/>
            <family val="2"/>
          </rPr>
          <t xml:space="preserve"> / ESU</t>
        </r>
      </text>
    </comment>
    <comment ref="E11" authorId="1" shapeId="0" xr:uid="{00000000-0006-0000-0400-000004000000}">
      <text>
        <r>
          <rPr>
            <sz val="9"/>
            <color indexed="81"/>
            <rFont val="Tahoma"/>
            <family val="2"/>
          </rPr>
          <t>Prod. Sortie App_1 +
Prod. Sortie App_2 =
Consommation Prod. Eau Chaude de l'onglet
"Tableau 1 Besoins" (tableau 1a ou 1b)</t>
        </r>
      </text>
    </comment>
    <comment ref="F11" authorId="1" shapeId="0" xr:uid="{C8D5EE0F-781B-401C-BA37-A36685C8AA29}">
      <text>
        <r>
          <rPr>
            <sz val="9"/>
            <color indexed="81"/>
            <rFont val="Tahoma"/>
            <family val="2"/>
          </rPr>
          <t>Prod. Sortie App_1 +
Prod. Sortie App_2 =
Consommation Prod. Eau Chaude de l'onglet
"Tableau 1 Besoins" (tableau 1a ou 1b)</t>
        </r>
      </text>
    </comment>
    <comment ref="D14" authorId="2" shapeId="0" xr:uid="{92C1AE26-E37D-47FF-B956-7C0099F54F11}">
      <text>
        <r>
          <rPr>
            <sz val="9"/>
            <color indexed="81"/>
            <rFont val="Tahoma"/>
            <family val="2"/>
          </rPr>
          <t>Rendement dit de combustion (chaudière PCI).
Les pertes de stockage et de distribution sont incluses dans les consommations de production d'eau chaude (besoins globaux).</t>
        </r>
      </text>
    </comment>
    <comment ref="E17" authorId="1" shapeId="0" xr:uid="{3788FDC4-2A5F-47AD-B1F5-6BE0588D41FF}">
      <text>
        <r>
          <rPr>
            <sz val="9"/>
            <color indexed="81"/>
            <rFont val="Tahoma"/>
            <family val="2"/>
          </rPr>
          <t>Prod. Sortie App_1 +
Prod. Sortie App_2 =
Consommation Prod. Eau Chaude de l'onglet
"Tableau 1 Besoins" (tableau 1a ou 1b)</t>
        </r>
      </text>
    </comment>
    <comment ref="F17" authorId="1" shapeId="0" xr:uid="{9C27E4FD-9369-448D-8705-EE5760D8190C}">
      <text>
        <r>
          <rPr>
            <sz val="9"/>
            <color indexed="81"/>
            <rFont val="Tahoma"/>
            <family val="2"/>
          </rPr>
          <t>Prod. Sortie App_1 +
Prod. Sortie App_2 =
Consommation Prod. Eau Chaude de l'onglet
"Tableau 1 Besoins" (tableau 1a ou 1b)</t>
        </r>
      </text>
    </comment>
    <comment ref="D20" authorId="2" shapeId="0" xr:uid="{EEF37B8B-F0F1-4CBA-A52F-1639EC117453}">
      <text>
        <r>
          <rPr>
            <sz val="9"/>
            <color indexed="81"/>
            <rFont val="Tahoma"/>
            <family val="2"/>
          </rPr>
          <t>Rendement dit de combustion (chaudière PCI).
Les pertes de stockage et de distribution sont incluses dans les consommations de production d'eau chaude (besoins globaux).</t>
        </r>
      </text>
    </comment>
  </commentList>
</comments>
</file>

<file path=xl/sharedStrings.xml><?xml version="1.0" encoding="utf-8"?>
<sst xmlns="http://schemas.openxmlformats.org/spreadsheetml/2006/main" count="647" uniqueCount="294">
  <si>
    <t>H1a</t>
  </si>
  <si>
    <t>H1b</t>
  </si>
  <si>
    <t>H1c</t>
  </si>
  <si>
    <t>H2a</t>
  </si>
  <si>
    <t>H2b</t>
  </si>
  <si>
    <t>H2c</t>
  </si>
  <si>
    <t>H2d</t>
  </si>
  <si>
    <t>H3</t>
  </si>
  <si>
    <t>&lt;400</t>
  </si>
  <si>
    <t>400-800</t>
  </si>
  <si>
    <t>&gt;800</t>
  </si>
  <si>
    <t>Log. sociaux</t>
  </si>
  <si>
    <t>Typologie bâtiments:</t>
  </si>
  <si>
    <t>Plafond standart (H2b&lt;400m) (kWh/m² e finale)</t>
  </si>
  <si>
    <t>0 à 400 m</t>
  </si>
  <si>
    <t>401 à 800 m</t>
  </si>
  <si>
    <t>801 m et plus</t>
  </si>
  <si>
    <t>Copropriétés</t>
  </si>
  <si>
    <t>https://www.legifrance.gouv.fr/loda/id/JORFTEXT000026871753</t>
  </si>
  <si>
    <t>RT 2012 (reprise hotellerie 2 étoiles)</t>
  </si>
  <si>
    <t>Tertiaire - Bureaux</t>
  </si>
  <si>
    <t>Coffs Bbio</t>
  </si>
  <si>
    <t>Tertiaire - Commerce</t>
  </si>
  <si>
    <t>RT 2012 (reprise Enseignement)</t>
  </si>
  <si>
    <t>Tertiaire - Enseignement</t>
  </si>
  <si>
    <t>RT 2012 (approximation)</t>
  </si>
  <si>
    <t>Tertiaire - Hotellerie</t>
  </si>
  <si>
    <t>Tertiaire - Sports &amp; Loisirs</t>
  </si>
  <si>
    <t>Bâtiments ou parties de bâtiment universitaire d'enseignement et de recherche CE1</t>
  </si>
  <si>
    <t>Tertiaire - Santé</t>
  </si>
  <si>
    <t>Bâtiments ou parties de bâtiment universitaire d'enseignement et de recherche CE2</t>
  </si>
  <si>
    <t>Tertiaire - Autres</t>
  </si>
  <si>
    <t>Industries</t>
  </si>
  <si>
    <t>hotels 0-1etoiles CE1 (nuit pr tt les hotels)</t>
  </si>
  <si>
    <t>RT 2012 (reprise valeurs min tertiaire))</t>
  </si>
  <si>
    <t>Serres</t>
  </si>
  <si>
    <t>Industrie -Chauffage de locaux</t>
  </si>
  <si>
    <t>hotels 0-1etoiles CE2</t>
  </si>
  <si>
    <t>Industries - Process</t>
  </si>
  <si>
    <t>hotels 2 etoiles CE1</t>
  </si>
  <si>
    <t>Sources: CEREN 2021 (moyennes nationales)</t>
  </si>
  <si>
    <t>hotels 2 etoiles CE2</t>
  </si>
  <si>
    <t>Catégorie</t>
  </si>
  <si>
    <t>Valeur minimale  (kWh/m²/an)</t>
  </si>
  <si>
    <t>Valeur maximales  (kWh/m²/an)</t>
  </si>
  <si>
    <t>biomasse (eff = 0,85)</t>
  </si>
  <si>
    <t>part chauffage bâtiment (résidentiel)</t>
  </si>
  <si>
    <t>EF chauffage</t>
  </si>
  <si>
    <t>hotels 3 etoiles CE1</t>
  </si>
  <si>
    <t>Résidentiel</t>
  </si>
  <si>
    <t>DPE résidentiel (à titre indicatif)</t>
  </si>
  <si>
    <t>Tertiaire Santé, enseignement, sport &amp; loisirs</t>
  </si>
  <si>
    <t>DPE (ep)</t>
  </si>
  <si>
    <t>Part chauffage + ECS (ECS: 10% du global (CEREN))</t>
  </si>
  <si>
    <t>DPE (ef)</t>
  </si>
  <si>
    <t>hotels 3 etoiles CE2</t>
  </si>
  <si>
    <t>Tertiaire autre (Commerce, Bureaux, Hotellerie,…)</t>
  </si>
  <si>
    <t>A</t>
  </si>
  <si>
    <t>B</t>
  </si>
  <si>
    <t>hotels 4-5 etoiles CE1</t>
  </si>
  <si>
    <t>C</t>
  </si>
  <si>
    <t>D</t>
  </si>
  <si>
    <t>hotels 4-5 etoiles CE2</t>
  </si>
  <si>
    <t>E</t>
  </si>
  <si>
    <t>Valeur minimale hors modulation (kWh/m²/an)</t>
  </si>
  <si>
    <t>F</t>
  </si>
  <si>
    <t>Commerces CE1</t>
  </si>
  <si>
    <t>G</t>
  </si>
  <si>
    <t>&gt;420</t>
  </si>
  <si>
    <t>&gt;357</t>
  </si>
  <si>
    <t>Commerces CE2</t>
  </si>
  <si>
    <t>Etab sportif CE1</t>
  </si>
  <si>
    <t>Etab sportif CE2</t>
  </si>
  <si>
    <t>Etab sportif munic CE1</t>
  </si>
  <si>
    <t>Etab sportif munic CE2</t>
  </si>
  <si>
    <t>santé nuit CE1</t>
  </si>
  <si>
    <t>Santé nuit CE2</t>
  </si>
  <si>
    <t>Problème sur la formule dans le fichier biomasse</t>
  </si>
  <si>
    <t>Altitude (m)</t>
  </si>
  <si>
    <t>CVC</t>
  </si>
  <si>
    <t>N/A</t>
  </si>
  <si>
    <t>800-1200</t>
  </si>
  <si>
    <t>1200-1600</t>
  </si>
  <si>
    <t>&gt;1600</t>
  </si>
  <si>
    <t>Paramètres</t>
  </si>
  <si>
    <t>Listes</t>
  </si>
  <si>
    <t xml:space="preserve">Logiciel utilisé (version) : </t>
  </si>
  <si>
    <t>Calcul</t>
  </si>
  <si>
    <t>Gaz Naturel</t>
  </si>
  <si>
    <t>Centrale sol</t>
  </si>
  <si>
    <t>Simple vitrage</t>
  </si>
  <si>
    <t>REF1 SSC1</t>
  </si>
  <si>
    <t>Polysun</t>
  </si>
  <si>
    <t>Mesuré</t>
  </si>
  <si>
    <t>Selon audit énergétique</t>
  </si>
  <si>
    <t>Fioul</t>
  </si>
  <si>
    <t>Trackeur sol</t>
  </si>
  <si>
    <t>Double vitrage</t>
  </si>
  <si>
    <t>REF1 SSC2</t>
  </si>
  <si>
    <t>Transol</t>
  </si>
  <si>
    <t>Calculé (factures)</t>
  </si>
  <si>
    <t>Selon étude conception BET</t>
  </si>
  <si>
    <t>Charbon</t>
  </si>
  <si>
    <t>Ombrière</t>
  </si>
  <si>
    <t>Tube sous vide</t>
  </si>
  <si>
    <t>REF2 SSC1</t>
  </si>
  <si>
    <t>Tsol</t>
  </si>
  <si>
    <t>Calculé (simulation)</t>
  </si>
  <si>
    <t>Mesure</t>
  </si>
  <si>
    <t>Electricité</t>
  </si>
  <si>
    <t>Surimposition toiture</t>
  </si>
  <si>
    <t>Autre</t>
  </si>
  <si>
    <t>REF2 SSC2</t>
  </si>
  <si>
    <t>TRNSYS</t>
  </si>
  <si>
    <t>Fiche constructeur</t>
  </si>
  <si>
    <t>Déduit de factures</t>
  </si>
  <si>
    <t>Biomasse</t>
  </si>
  <si>
    <t>Intégration toiture</t>
  </si>
  <si>
    <t>REF3 SSC1</t>
  </si>
  <si>
    <t>Pléiade+COMFIE</t>
  </si>
  <si>
    <t>Mesure sur période estivale</t>
  </si>
  <si>
    <t>Réseau Chaleur</t>
  </si>
  <si>
    <t>REF4 SSC1</t>
  </si>
  <si>
    <t>CASSSC (schéma hydro-accumulation)</t>
  </si>
  <si>
    <t>Mesure sur période hivernale</t>
  </si>
  <si>
    <t>REF5 SSC1</t>
  </si>
  <si>
    <t>SOLISCASSSC (schéma solaire direct)</t>
  </si>
  <si>
    <t>REF5 SSC2</t>
  </si>
  <si>
    <t>Scenocalc</t>
  </si>
  <si>
    <t>Choix…</t>
  </si>
  <si>
    <t>Résidentiel (LC)</t>
  </si>
  <si>
    <t>Neuf</t>
  </si>
  <si>
    <t>Dédiée</t>
  </si>
  <si>
    <t xml:space="preserve">Tertiaire (T) </t>
  </si>
  <si>
    <t>Existant</t>
  </si>
  <si>
    <t>Groupée</t>
  </si>
  <si>
    <t>Mixte</t>
  </si>
  <si>
    <r>
      <t>Pour calcul du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fossile évité dans l'onglet "Tableau 3 Production"</t>
    </r>
  </si>
  <si>
    <t>Type d'énergie</t>
  </si>
  <si>
    <t>Consommation</t>
  </si>
  <si>
    <r>
      <rPr>
        <b/>
        <sz val="11"/>
        <rFont val="Symbol"/>
        <family val="1"/>
        <charset val="2"/>
      </rPr>
      <t>S</t>
    </r>
    <r>
      <rPr>
        <b/>
        <sz val="11"/>
        <rFont val="Calibri"/>
        <family val="2"/>
        <scheme val="minor"/>
      </rPr>
      <t xml:space="preserve"> appoints</t>
    </r>
  </si>
  <si>
    <r>
      <t xml:space="preserve">TABLEAUX INSTRUCTION DOSSIER FONDS CHALEUR
- Opérations SSC dédiées ou groupées -
</t>
    </r>
    <r>
      <rPr>
        <sz val="8"/>
        <rFont val="Arial Black"/>
        <family val="2"/>
      </rPr>
      <t>Installation solaire thermique pour la production de Chauffage et d’Eau Chaude Sanitaire</t>
    </r>
  </si>
  <si>
    <t>Tableau 1 : Besoins</t>
  </si>
  <si>
    <t>Tableau 2 : Installation</t>
  </si>
  <si>
    <t>Tableau 3 : Production</t>
  </si>
  <si>
    <r>
      <rPr>
        <b/>
        <sz val="10"/>
        <rFont val="Arial"/>
        <family val="2"/>
      </rPr>
      <t xml:space="preserve">NOM du projet </t>
    </r>
    <r>
      <rPr>
        <sz val="10"/>
        <rFont val="Arial"/>
        <family val="2"/>
      </rPr>
      <t>:</t>
    </r>
  </si>
  <si>
    <t>Région / Département / Commune :</t>
  </si>
  <si>
    <t>Secteur de l'opération :</t>
  </si>
  <si>
    <t>Type de l'opération :</t>
  </si>
  <si>
    <t xml:space="preserve">Maitre d'ouvrage : </t>
  </si>
  <si>
    <t>Tableau 1a : Bâtiment(s) NEUF(S) - Système Solaire Combiné Collectif</t>
  </si>
  <si>
    <t>Faire un tableur par bâtiment, pour chaque installation dédiée ou groupée</t>
  </si>
  <si>
    <t>Selon Règlementation 
Thermique en vigueur</t>
  </si>
  <si>
    <t>Commentaire</t>
  </si>
  <si>
    <t>Besoins Chauffage (MWh/an)</t>
  </si>
  <si>
    <t>Pertes Chauffage (stockage, boucle distribution) (MWh/an)</t>
  </si>
  <si>
    <t>Exemple : calorifugeage renforcé</t>
  </si>
  <si>
    <t>Besoins ECS (MWh/an) à 55 °C</t>
  </si>
  <si>
    <t>Exemple : économiseurs d'eau</t>
  </si>
  <si>
    <t>Pertes ECS (stockage, boucle distribution) (MWh/an)</t>
  </si>
  <si>
    <t>Besoins en Froid (MWh/an)</t>
  </si>
  <si>
    <t>Consommation de production d'eau chaude (MWh/an)</t>
  </si>
  <si>
    <t>Consigne température Chauffage (°C)</t>
  </si>
  <si>
    <t>Exemple : confort / éco = 19 °C / 17 °C</t>
  </si>
  <si>
    <t>Période de chauffe (dd/mm/N-1 à dd/mm/N)</t>
  </si>
  <si>
    <t>Exemple : 15/10/2023 à 15/04/2024</t>
  </si>
  <si>
    <t>Régime température boucle Chauffage (A/R °C)</t>
  </si>
  <si>
    <t>Exemple : 30/35 °C</t>
  </si>
  <si>
    <t>Surface de chauffage par émetteurs haute/basse température (m²)</t>
  </si>
  <si>
    <t>Exemple : plancher chauffant et radiateurs BT avec robinets thermostatiques</t>
  </si>
  <si>
    <t>Classe d'isolation de la distribution</t>
  </si>
  <si>
    <t>Exemple : Classe 4</t>
  </si>
  <si>
    <r>
      <t>qecs (kWh/m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</si>
  <si>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 xml:space="preserve">Cep règlementaire (kWh_ep/(m².an)) </t>
    </r>
    <r>
      <rPr>
        <b/>
        <vertAlign val="superscript"/>
        <sz val="8"/>
        <color rgb="FF000000"/>
        <rFont val="Calibri"/>
        <family val="2"/>
        <scheme val="minor"/>
      </rPr>
      <t>(1)</t>
    </r>
  </si>
  <si>
    <t xml:space="preserve">Cep_max (kWh_ep/m².an) = </t>
  </si>
  <si>
    <t xml:space="preserve">(1) Coefficient d'énergie primaire (Cep) : consommation conventionnelle d'énergie primaire du projet, portant sur les consommations de chauffage,
 de refroidissement, d'éclairage, de production d'eau chaude sanitaire et d'auxiliaires (pompes et ventilateurs). </t>
  </si>
  <si>
    <t>Tableau 1b : Bâtiment(s) EXISTANT(S) - Système Solaire Combiné Collectif</t>
  </si>
  <si>
    <t>Situation actuelle
(Cref initiale)</t>
  </si>
  <si>
    <r>
      <t xml:space="preserve">Après démarches 
d'économies d'énergie
</t>
    </r>
    <r>
      <rPr>
        <b/>
        <sz val="8"/>
        <color theme="0"/>
        <rFont val="Calibri"/>
        <family val="2"/>
      </rPr>
      <t>(inscrire les chiffres 
démarche CPE engagée) (2)</t>
    </r>
  </si>
  <si>
    <t>Exemple : réduction de la consigne de la température de confort</t>
  </si>
  <si>
    <t>Exemple : radiateurs HT sans robinets thermostatiques</t>
  </si>
  <si>
    <r>
      <t xml:space="preserve">Consommation de référence (kWh/(m².an)) </t>
    </r>
    <r>
      <rPr>
        <b/>
        <vertAlign val="superscript"/>
        <sz val="8"/>
        <color rgb="FF000000"/>
        <rFont val="Calibri"/>
        <family val="2"/>
        <scheme val="minor"/>
      </rPr>
      <t>(1)</t>
    </r>
  </si>
  <si>
    <t>Zone Climatique règlementaire :
Altitude :</t>
  </si>
  <si>
    <t>(1) http://www.rt-batiment.fr/presentation-generale-dispositif-a35.html</t>
  </si>
  <si>
    <t>Exemple - Synthèse des besoins thermiques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</si>
  <si>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</si>
  <si>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</si>
  <si>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</si>
  <si>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</si>
  <si>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</si>
  <si>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</si>
  <si>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</si>
  <si>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</si>
  <si>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</si>
  <si>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</si>
  <si>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</si>
  <si>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</si>
  <si>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</si>
  <si>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ECS à 55 °C (MWh)</t>
  </si>
  <si>
    <t>Chauffage (MWh)</t>
  </si>
  <si>
    <r>
      <t xml:space="preserve">Pertes ECS+Chauffage </t>
    </r>
    <r>
      <rPr>
        <i/>
        <sz val="11"/>
        <color rgb="FFFF33CC"/>
        <rFont val="Calibri"/>
        <family val="2"/>
      </rPr>
      <t>(stockage, boucle distribution)</t>
    </r>
    <r>
      <rPr>
        <b/>
        <sz val="11"/>
        <color rgb="FFFF33CC"/>
        <rFont val="Calibri"/>
        <family val="2"/>
      </rPr>
      <t xml:space="preserve"> (MWh)</t>
    </r>
  </si>
  <si>
    <t>TOTAL (MWh)</t>
  </si>
  <si>
    <t>Tableau 1c : Plafond de consommation en kWh/m²/an considéré comme raisonnable en fonction du type de bâtiment et de sa situation géographique sera calculé</t>
  </si>
  <si>
    <t>Zone climatique</t>
  </si>
  <si>
    <t>cf carte à droite -&gt;</t>
  </si>
  <si>
    <t>Altitude du projet (m)</t>
  </si>
  <si>
    <t>Activités 
(process, chauffage/ECS, …)</t>
  </si>
  <si>
    <t>Type de bâtiment</t>
  </si>
  <si>
    <t>Surface chauffée (m2)</t>
  </si>
  <si>
    <t>Besoins avant démarche d'économie d'énergie (MWh/an)</t>
  </si>
  <si>
    <t>Besoins après démarche d'économie d'énergie (MWh/an)
pris en compte pour le dimensionnement</t>
  </si>
  <si>
    <t>dont Besoins chauffage</t>
  </si>
  <si>
    <t>dont Besoins ECS</t>
  </si>
  <si>
    <t>Besoins / m2</t>
  </si>
  <si>
    <t>Classe énerg. 
(A, B, C, …)</t>
  </si>
  <si>
    <t>Estimation des besoins 2030 : 
quantifier le besoins en incluant l'impact du décret éco-énergie tertiaire sur les bâtiments concernés
MWh</t>
  </si>
  <si>
    <t>Estimation des besoins 2040 : 
quantifier le besoins en incluant l'impact du décret éco-énergie tertiaire sur les bâtiments concernés
MWh</t>
  </si>
  <si>
    <t>Consommation plafond d'efficacité énergétique chauffage bâtiment hors ECS (MWh/an)</t>
  </si>
  <si>
    <t>Commentaire (automatique)</t>
  </si>
  <si>
    <t>TOTAUX</t>
  </si>
  <si>
    <t>Tableau 2 : Description de l'installation solaire</t>
  </si>
  <si>
    <t>Faire un tableur par installation solaire</t>
  </si>
  <si>
    <t>Caractéristiques du champ de capteur et du schéma d'intégration</t>
  </si>
  <si>
    <t>Situation future
 (projet EnR)</t>
  </si>
  <si>
    <t>Commentaires/Précisions</t>
  </si>
  <si>
    <t>Installation Solaire thermique</t>
  </si>
  <si>
    <t>Type de schéma hydraulique ou de raccordement (cf. livret technique SOCOL : Les Systèmes Solaires Combinés en Equipement Collectif)</t>
  </si>
  <si>
    <t>Si autre : préciser</t>
  </si>
  <si>
    <t>Type de capteurs solaires</t>
  </si>
  <si>
    <r>
      <t xml:space="preserve">Surface d'entrée </t>
    </r>
    <r>
      <rPr>
        <b/>
        <sz val="8"/>
        <rFont val="Calibri"/>
        <family val="2"/>
      </rPr>
      <t>nette</t>
    </r>
    <r>
      <rPr>
        <sz val="8"/>
        <rFont val="Calibri"/>
        <family val="2"/>
      </rPr>
      <t xml:space="preserve"> des capteurs (en m²)</t>
    </r>
  </si>
  <si>
    <t>Surface cloturée ou d'emprise au sol de la centrale (en m²)</t>
  </si>
  <si>
    <t>Type de strucure porteuse</t>
  </si>
  <si>
    <t>Orientation par rapport au Sud (entre -45 ° et +45 °)</t>
  </si>
  <si>
    <t>Exemple : 0 ° (= plein Sud)</t>
  </si>
  <si>
    <t>Inclinaison par rapport à l'horizontale (entre 15 ° et 90 °)</t>
  </si>
  <si>
    <t>Type de fluide caloporteur</t>
  </si>
  <si>
    <t>Autovidangeable</t>
  </si>
  <si>
    <r>
      <t>Volume du/des ballons solaires cumulés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</si>
  <si>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Volume du/des ballons d'appoint cumulés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)
</t>
    </r>
    <r>
      <rPr>
        <i/>
        <sz val="8"/>
        <rFont val="Calibri"/>
        <family val="2"/>
      </rPr>
      <t>Si ballon bi-énergie, volume consacré à l'appoint</t>
    </r>
  </si>
  <si>
    <t>Production solaire brute prévisionnelle (sortie capteurs solaires) (MWh/an)</t>
  </si>
  <si>
    <t>Déperdition boucle Solaire (MWh/an)</t>
  </si>
  <si>
    <t>Consommation des auxiliaires circuit primaire boucle solaire (MWh/an)</t>
  </si>
  <si>
    <t>Consommation des auxiliaires circuit secondaire boucle solaire (MWh/an)</t>
  </si>
  <si>
    <t>Déperdition ballon(s) de stockage solaire(s) (MWh/an)</t>
  </si>
  <si>
    <r>
      <t xml:space="preserve">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prévisionnelle (MWh/an) </t>
    </r>
    <r>
      <rPr>
        <b/>
        <vertAlign val="superscript"/>
        <sz val="8"/>
        <rFont val="Calibri"/>
        <family val="2"/>
      </rPr>
      <t>(1)</t>
    </r>
  </si>
  <si>
    <t>Cas échéant : décharge de la boucle solaire (en MWh/an)</t>
  </si>
  <si>
    <t>Exemple : éviter les surchauffes estivales</t>
  </si>
  <si>
    <r>
      <t xml:space="preserve">Productivité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annuelle (kWh/m²)</t>
    </r>
  </si>
  <si>
    <t xml:space="preserve">(1) ESU : la production solaire est calculée en valeur d'énergie utile à la sortie du ballon solaire ou aux points de piquage ECS et Chauffage 
(attention à la façon de remonter à l'ESU avec les logiciels utilisés pour le calcul de cette valeur). </t>
  </si>
  <si>
    <t>Production solaire utile (MWh)</t>
  </si>
  <si>
    <t>Décharge boucle solaire (MWh)</t>
  </si>
  <si>
    <t>Pertes boucle solaire (stockage, distribution) (MWh)</t>
  </si>
  <si>
    <t>Production solaire brute sortie capteurs</t>
  </si>
  <si>
    <t>Consommation d'eau chaude (MWh)</t>
  </si>
  <si>
    <t>Consommation solarisable pour FSC (MWh)</t>
  </si>
  <si>
    <t>Tableau 3 : Description Production</t>
  </si>
  <si>
    <t>Situation actuelle</t>
  </si>
  <si>
    <t>Commentaires</t>
  </si>
  <si>
    <t>Production</t>
  </si>
  <si>
    <t>Solaire thermique</t>
  </si>
  <si>
    <r>
      <t xml:space="preserve">Total Production Solaire </t>
    </r>
    <r>
      <rPr>
        <b/>
        <u/>
        <sz val="8"/>
        <rFont val="Calibri"/>
        <family val="2"/>
      </rPr>
      <t>brute</t>
    </r>
    <r>
      <rPr>
        <b/>
        <sz val="8"/>
        <rFont val="Calibri"/>
        <family val="2"/>
      </rPr>
      <t xml:space="preserve"> (MWh/an)</t>
    </r>
  </si>
  <si>
    <t>Non applicable</t>
  </si>
  <si>
    <r>
      <t xml:space="preserve">Total 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(MWh/an) </t>
    </r>
    <r>
      <rPr>
        <b/>
        <vertAlign val="superscript"/>
        <sz val="8"/>
        <rFont val="Calibri"/>
        <family val="2"/>
      </rPr>
      <t>(1)</t>
    </r>
  </si>
  <si>
    <t>Cas échéant : total décharge boucle solaire (MWh/an)</t>
  </si>
  <si>
    <r>
      <t>Consommation des auxiliaires nécessaires au fonctionnement de l’installation solaire thermique (W</t>
    </r>
    <r>
      <rPr>
        <b/>
        <vertAlign val="subscript"/>
        <sz val="8"/>
        <color rgb="FF000000"/>
        <rFont val="Calibri"/>
        <family val="2"/>
      </rPr>
      <t>aux</t>
    </r>
    <r>
      <rPr>
        <b/>
        <sz val="8"/>
        <color indexed="8"/>
        <rFont val="Calibri"/>
        <family val="2"/>
      </rPr>
      <t xml:space="preserve"> MWh/an)</t>
    </r>
  </si>
  <si>
    <t xml:space="preserve">Taux de couverture sur besoins utiles (FECS %) </t>
  </si>
  <si>
    <r>
      <t>Taux de consommation d’auxiliaire (T</t>
    </r>
    <r>
      <rPr>
        <b/>
        <vertAlign val="subscript"/>
        <sz val="8"/>
        <rFont val="Calibri"/>
        <family val="2"/>
      </rPr>
      <t>aux</t>
    </r>
    <r>
      <rPr>
        <b/>
        <sz val="8"/>
        <rFont val="Calibri"/>
        <family val="2"/>
      </rPr>
      <t xml:space="preserve"> %)</t>
    </r>
  </si>
  <si>
    <t>Production d'Appoint_1</t>
  </si>
  <si>
    <t>Production d'eau chaude sortie Appoint_1 (MWh/an)</t>
  </si>
  <si>
    <t>Puissance Appoint_1  (MW)</t>
  </si>
  <si>
    <t>Type d'énergie Appoint_1</t>
  </si>
  <si>
    <t>Fuel</t>
  </si>
  <si>
    <r>
      <t xml:space="preserve">Rendement moyen annuel Appoint_1
</t>
    </r>
    <r>
      <rPr>
        <i/>
        <sz val="8"/>
        <rFont val="Calibri"/>
        <family val="2"/>
      </rPr>
      <t>(rendement production ECS+Chauffage)</t>
    </r>
  </si>
  <si>
    <t>Consommation des auxiliaires circuit Appoint_1 (MWh/an)</t>
  </si>
  <si>
    <t>Consommation d'énergie entrée Appoint_1 (MWh/an)</t>
  </si>
  <si>
    <t>Production d'Appoint_2
le cas échéant</t>
  </si>
  <si>
    <t>Production d'eau chaude sortie Appoint_2 (MWh/an)</t>
  </si>
  <si>
    <t>Puissance Appoint_2  (MW)</t>
  </si>
  <si>
    <t>Type d'énergie Appoint_2</t>
  </si>
  <si>
    <t>Consommation des auxiliaires circuit Appoint_2 (MWh/an)</t>
  </si>
  <si>
    <t>Consommation d'énergie entrée Appoint_2 (MWh)</t>
  </si>
  <si>
    <t>Total</t>
  </si>
  <si>
    <t>Total Production d'eau chaude (MWh)</t>
  </si>
  <si>
    <t>Si décharge solaire = chaleur injectée dans le RC (MW/an)</t>
  </si>
  <si>
    <t>-</t>
  </si>
  <si>
    <t>Puissance totale des Appoints (MW)</t>
  </si>
  <si>
    <t>Consommation totale des auxiliaires (MWh/an)</t>
  </si>
  <si>
    <t>Total Consommation énergie d'appoint du site (MWh/an)</t>
  </si>
  <si>
    <t>Taux EnR&amp;R sur production totale du site</t>
  </si>
  <si>
    <t>Taux EnR&amp;R auxiliaires pris en compte</t>
  </si>
  <si>
    <r>
      <t>CO</t>
    </r>
    <r>
      <rPr>
        <b/>
        <vertAlign val="sub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 xml:space="preserve"> fossile évité (tonnes) :
</t>
    </r>
    <r>
      <rPr>
        <i/>
        <sz val="8"/>
        <color theme="1"/>
        <rFont val="Calibri"/>
        <family val="2"/>
        <scheme val="minor"/>
      </rPr>
      <t>réf. Combustion (base carbone ADEME) 
GN : 0,187 tCO</t>
    </r>
    <r>
      <rPr>
        <i/>
        <vertAlign val="subscript"/>
        <sz val="8"/>
        <color theme="1"/>
        <rFont val="Calibri"/>
        <family val="2"/>
        <scheme val="minor"/>
      </rPr>
      <t>2</t>
    </r>
    <r>
      <rPr>
        <i/>
        <sz val="8"/>
        <color theme="1"/>
        <rFont val="Calibri"/>
        <family val="2"/>
        <scheme val="minor"/>
      </rPr>
      <t>/MWh PCI
fioul : 0,266 tCO</t>
    </r>
    <r>
      <rPr>
        <i/>
        <vertAlign val="subscript"/>
        <sz val="8"/>
        <color theme="1"/>
        <rFont val="Calibri"/>
        <family val="2"/>
        <scheme val="minor"/>
      </rPr>
      <t>2</t>
    </r>
    <r>
      <rPr>
        <i/>
        <sz val="8"/>
        <color theme="1"/>
        <rFont val="Calibri"/>
        <family val="2"/>
        <scheme val="minor"/>
      </rPr>
      <t>/MWh PCI
charbon : 0,345 tCO</t>
    </r>
    <r>
      <rPr>
        <i/>
        <vertAlign val="subscript"/>
        <sz val="8"/>
        <color theme="1"/>
        <rFont val="Calibri"/>
        <family val="2"/>
        <scheme val="minor"/>
      </rPr>
      <t>2</t>
    </r>
    <r>
      <rPr>
        <i/>
        <sz val="8"/>
        <color theme="1"/>
        <rFont val="Calibri"/>
        <family val="2"/>
        <scheme val="minor"/>
      </rPr>
      <t>/MWh PCI</t>
    </r>
  </si>
  <si>
    <t>Energie substituée</t>
  </si>
  <si>
    <t>Part</t>
  </si>
  <si>
    <r>
      <t xml:space="preserve">Taux d'économie (Fsav)
</t>
    </r>
    <r>
      <rPr>
        <b/>
        <sz val="8"/>
        <color rgb="FFFF0000"/>
        <rFont val="Calibri"/>
        <family val="2"/>
      </rPr>
      <t>Fsav &gt;30 %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</si>
</sst>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%"/>
    <numFmt numFmtId="165" formatCode="0.0"/>
    <numFmt numFmtId="166" formatCode="0&quot; MWh/an&quot;"/>
    <numFmt numFmtId="167" formatCode="0.0&quot; °C&quot;"/>
    <numFmt numFmtId="168" formatCode="0.0&quot; kWh/m³&quot;"/>
    <numFmt numFmtId="169" formatCode="0&quot; kWh_ep/(m².an)&quot;"/>
    <numFmt numFmtId="170" formatCode="0&quot; kWh/(m².an)&quot;"/>
    <numFmt numFmtId="171" formatCode="0.0&quot; MWh&quot;"/>
    <numFmt numFmtId="172" formatCode="0&quot; °&quot;"/>
    <numFmt numFmtId="173" formatCode="0.0,&quot;m&quot;"/>
    <numFmt numFmtId="174" formatCode="0.0&quot; MWh/an&quot;"/>
    <numFmt numFmtId="175" formatCode="0.0&quot; kWh/m²/an&quot;"/>
    <numFmt numFmtId="176" formatCode="0.0&quot; MW&quot;"/>
    <numFmt numFmtId="177" formatCode="0.0&quot; m³&quot;"/>
  </numFmts>
  <fonts count="8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sz val="8"/>
      <name val="Calibri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8"/>
      <name val="Calibri"/>
      <family val="2"/>
    </font>
    <font>
      <b/>
      <u/>
      <sz val="12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Calibri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 Black"/>
      <family val="2"/>
    </font>
    <font>
      <u/>
      <sz val="8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33CC"/>
      <name val="Calibri"/>
      <family val="2"/>
      <scheme val="minor"/>
    </font>
    <font>
      <sz val="11"/>
      <color rgb="FF990099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Marianne Light"/>
      <family val="3"/>
    </font>
    <font>
      <b/>
      <sz val="11"/>
      <color theme="1"/>
      <name val="Calibri"/>
      <family val="2"/>
      <scheme val="minor"/>
    </font>
    <font>
      <b/>
      <vertAlign val="superscript"/>
      <sz val="8"/>
      <color rgb="FF0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990099"/>
      <name val="Calibri"/>
      <family val="2"/>
      <scheme val="minor"/>
    </font>
    <font>
      <b/>
      <sz val="11"/>
      <color rgb="FFFF33CC"/>
      <name val="Calibri"/>
      <family val="2"/>
      <scheme val="minor"/>
    </font>
    <font>
      <b/>
      <vertAlign val="superscript"/>
      <sz val="8"/>
      <name val="Calibri"/>
      <family val="2"/>
    </font>
    <font>
      <b/>
      <sz val="11"/>
      <color theme="4"/>
      <name val="Calibri"/>
      <family val="2"/>
    </font>
    <font>
      <b/>
      <sz val="11"/>
      <color rgb="FF990099"/>
      <name val="Calibri"/>
      <family val="2"/>
    </font>
    <font>
      <b/>
      <sz val="11"/>
      <color rgb="FFFF33CC"/>
      <name val="Calibri"/>
      <family val="2"/>
    </font>
    <font>
      <i/>
      <sz val="11"/>
      <color rgb="FFFF33CC"/>
      <name val="Calibri"/>
      <family val="2"/>
    </font>
    <font>
      <b/>
      <vertAlign val="subscript"/>
      <sz val="8"/>
      <color theme="1"/>
      <name val="Calibri"/>
      <family val="2"/>
      <scheme val="minor"/>
    </font>
    <font>
      <i/>
      <vertAlign val="subscript"/>
      <sz val="8"/>
      <color theme="1"/>
      <name val="Calibri"/>
      <family val="2"/>
      <scheme val="minor"/>
    </font>
    <font>
      <b/>
      <sz val="11"/>
      <name val="Calibri"/>
      <family val="1"/>
      <charset val="2"/>
      <scheme val="minor"/>
    </font>
    <font>
      <b/>
      <sz val="11"/>
      <name val="Symbol"/>
      <family val="1"/>
      <charset val="2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theme="1"/>
      <name val="Calibri"/>
      <family val="2"/>
    </font>
    <font>
      <i/>
      <sz val="8"/>
      <color rgb="FF000000"/>
      <name val="Arial"/>
      <family val="2"/>
    </font>
    <font>
      <b/>
      <sz val="8"/>
      <color theme="1"/>
      <name val="Calibri"/>
      <family val="2"/>
    </font>
    <font>
      <b/>
      <sz val="8"/>
      <color rgb="FFC00000"/>
      <name val="Arial"/>
      <family val="2"/>
    </font>
    <font>
      <sz val="8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i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vertAlign val="subscript"/>
      <sz val="8"/>
      <color rgb="FF000000"/>
      <name val="Calibri"/>
      <family val="2"/>
    </font>
    <font>
      <b/>
      <vertAlign val="subscript"/>
      <sz val="8"/>
      <name val="Calibri"/>
      <family val="2"/>
    </font>
    <font>
      <vertAlign val="subscript"/>
      <sz val="9"/>
      <color indexed="81"/>
      <name val="Tahoma"/>
      <family val="2"/>
    </font>
    <font>
      <b/>
      <sz val="8"/>
      <color rgb="FFFF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5F5F5"/>
        <bgColor indexed="64"/>
      </patternFill>
    </fill>
  </fills>
  <borders count="1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rgb="FFD8D8D8"/>
      </left>
      <right style="thin">
        <color rgb="FF000000"/>
      </right>
      <top/>
      <bottom style="thin">
        <color rgb="FF000000"/>
      </bottom>
      <diagonal/>
    </border>
    <border>
      <left style="medium">
        <color rgb="FFD8D8D8"/>
      </left>
      <right style="medium">
        <color rgb="FFD8D8D8"/>
      </right>
      <top/>
      <bottom style="thin">
        <color rgb="FF000000"/>
      </bottom>
      <diagonal/>
    </border>
    <border>
      <left style="thin">
        <color rgb="FF000000"/>
      </left>
      <right style="medium">
        <color rgb="FFD8D8D8"/>
      </right>
      <top/>
      <bottom style="thin">
        <color rgb="FF000000"/>
      </bottom>
      <diagonal/>
    </border>
    <border>
      <left style="medium">
        <color rgb="FFD8D8D8"/>
      </left>
      <right style="thin">
        <color rgb="FF000000"/>
      </right>
      <top style="thin">
        <color rgb="FF000000"/>
      </top>
      <bottom/>
      <diagonal/>
    </border>
    <border>
      <left style="medium">
        <color rgb="FFD8D8D8"/>
      </left>
      <right style="medium">
        <color rgb="FFD8D8D8"/>
      </right>
      <top style="thin">
        <color rgb="FF000000"/>
      </top>
      <bottom/>
      <diagonal/>
    </border>
    <border>
      <left style="thin">
        <color rgb="FF000000"/>
      </left>
      <right style="medium">
        <color rgb="FFD8D8D8"/>
      </right>
      <top style="thin">
        <color rgb="FF000000"/>
      </top>
      <bottom/>
      <diagonal/>
    </border>
    <border>
      <left style="medium">
        <color rgb="FFD8D8D8"/>
      </left>
      <right style="thin">
        <color rgb="FF000000"/>
      </right>
      <top/>
      <bottom/>
      <diagonal/>
    </border>
    <border>
      <left style="medium">
        <color rgb="FFD8D8D8"/>
      </left>
      <right style="medium">
        <color rgb="FFD8D8D8"/>
      </right>
      <top/>
      <bottom/>
      <diagonal/>
    </border>
    <border>
      <left style="thin">
        <color rgb="FF000000"/>
      </left>
      <right style="medium">
        <color rgb="FFD8D8D8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8D8D8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5" fillId="0" borderId="0"/>
    <xf numFmtId="0" fontId="13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9">
    <xf numFmtId="0" fontId="0" fillId="0" borderId="0" xfId="0"/>
    <xf numFmtId="0" fontId="5" fillId="0" borderId="0" xfId="3" applyFont="1"/>
    <xf numFmtId="0" fontId="13" fillId="0" borderId="0" xfId="3"/>
    <xf numFmtId="0" fontId="7" fillId="0" borderId="0" xfId="3" applyFont="1" applyAlignment="1">
      <alignment horizontal="right" vertical="center" wrapText="1"/>
    </xf>
    <xf numFmtId="0" fontId="14" fillId="0" borderId="0" xfId="0" applyFont="1"/>
    <xf numFmtId="0" fontId="10" fillId="0" borderId="0" xfId="0" applyFont="1"/>
    <xf numFmtId="0" fontId="15" fillId="0" borderId="0" xfId="3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3" borderId="13" xfId="0" applyFont="1" applyFill="1" applyBorder="1" applyAlignment="1">
      <alignment horizontal="center" vertical="center" wrapText="1"/>
    </xf>
    <xf numFmtId="164" fontId="16" fillId="4" borderId="14" xfId="4" applyNumberFormat="1" applyFont="1" applyFill="1" applyBorder="1" applyAlignment="1">
      <alignment horizontal="center" vertical="center"/>
    </xf>
    <xf numFmtId="9" fontId="8" fillId="0" borderId="14" xfId="4" applyFont="1" applyFill="1" applyBorder="1" applyAlignment="1">
      <alignment horizontal="center" vertical="center"/>
    </xf>
    <xf numFmtId="0" fontId="4" fillId="0" borderId="0" xfId="3" applyFont="1"/>
    <xf numFmtId="0" fontId="14" fillId="0" borderId="0" xfId="0" applyFont="1" applyAlignment="1">
      <alignment vertical="center"/>
    </xf>
    <xf numFmtId="0" fontId="35" fillId="0" borderId="0" xfId="0" applyFont="1"/>
    <xf numFmtId="0" fontId="14" fillId="0" borderId="0" xfId="3" applyFont="1"/>
    <xf numFmtId="0" fontId="36" fillId="0" borderId="0" xfId="0" applyFont="1"/>
    <xf numFmtId="0" fontId="5" fillId="0" borderId="10" xfId="3" applyFont="1" applyBorder="1"/>
    <xf numFmtId="0" fontId="16" fillId="3" borderId="27" xfId="0" applyFont="1" applyFill="1" applyBorder="1" applyAlignment="1">
      <alignment horizontal="center" vertical="center" wrapText="1"/>
    </xf>
    <xf numFmtId="0" fontId="49" fillId="0" borderId="0" xfId="0" applyFont="1"/>
    <xf numFmtId="0" fontId="16" fillId="0" borderId="25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64" fontId="16" fillId="4" borderId="17" xfId="4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1" fontId="42" fillId="0" borderId="10" xfId="0" applyNumberFormat="1" applyFont="1" applyBorder="1" applyAlignment="1">
      <alignment horizontal="center" vertical="center"/>
    </xf>
    <xf numFmtId="171" fontId="42" fillId="0" borderId="48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1" fontId="43" fillId="0" borderId="31" xfId="0" applyNumberFormat="1" applyFont="1" applyBorder="1" applyAlignment="1">
      <alignment horizontal="center" vertical="center"/>
    </xf>
    <xf numFmtId="171" fontId="43" fillId="0" borderId="30" xfId="0" applyNumberFormat="1" applyFont="1" applyBorder="1" applyAlignment="1">
      <alignment horizontal="center" vertical="center"/>
    </xf>
    <xf numFmtId="171" fontId="43" fillId="0" borderId="50" xfId="0" applyNumberFormat="1" applyFont="1" applyBorder="1" applyAlignment="1">
      <alignment horizontal="center" vertical="center"/>
    </xf>
    <xf numFmtId="171" fontId="52" fillId="0" borderId="66" xfId="0" applyNumberFormat="1" applyFont="1" applyBorder="1" applyAlignment="1">
      <alignment horizontal="center" vertical="center"/>
    </xf>
    <xf numFmtId="171" fontId="42" fillId="0" borderId="32" xfId="0" applyNumberFormat="1" applyFont="1" applyBorder="1" applyAlignment="1">
      <alignment horizontal="center" vertical="center"/>
    </xf>
    <xf numFmtId="171" fontId="53" fillId="0" borderId="67" xfId="0" applyNumberFormat="1" applyFont="1" applyBorder="1" applyAlignment="1">
      <alignment horizontal="center" vertical="center"/>
    </xf>
    <xf numFmtId="171" fontId="41" fillId="0" borderId="40" xfId="0" applyNumberFormat="1" applyFont="1" applyBorder="1" applyAlignment="1">
      <alignment horizontal="center" vertical="center"/>
    </xf>
    <xf numFmtId="171" fontId="41" fillId="0" borderId="41" xfId="0" applyNumberFormat="1" applyFont="1" applyBorder="1" applyAlignment="1">
      <alignment horizontal="center" vertical="center"/>
    </xf>
    <xf numFmtId="171" fontId="41" fillId="0" borderId="60" xfId="0" applyNumberFormat="1" applyFont="1" applyBorder="1" applyAlignment="1">
      <alignment horizontal="center" vertical="center"/>
    </xf>
    <xf numFmtId="171" fontId="54" fillId="0" borderId="69" xfId="0" applyNumberFormat="1" applyFont="1" applyBorder="1" applyAlignment="1">
      <alignment horizontal="center" vertical="center"/>
    </xf>
    <xf numFmtId="171" fontId="48" fillId="0" borderId="70" xfId="0" applyNumberFormat="1" applyFont="1" applyBorder="1" applyAlignment="1">
      <alignment horizontal="center" vertical="center"/>
    </xf>
    <xf numFmtId="171" fontId="48" fillId="0" borderId="71" xfId="0" applyNumberFormat="1" applyFont="1" applyBorder="1" applyAlignment="1">
      <alignment horizontal="center" vertical="center"/>
    </xf>
    <xf numFmtId="171" fontId="48" fillId="0" borderId="72" xfId="0" applyNumberFormat="1" applyFont="1" applyBorder="1" applyAlignment="1">
      <alignment horizontal="center" vertical="center"/>
    </xf>
    <xf numFmtId="171" fontId="48" fillId="0" borderId="73" xfId="0" applyNumberFormat="1" applyFont="1" applyBorder="1" applyAlignment="1">
      <alignment horizontal="center" vertical="center"/>
    </xf>
    <xf numFmtId="0" fontId="28" fillId="5" borderId="0" xfId="0" applyFont="1" applyFill="1" applyAlignment="1">
      <alignment vertical="center"/>
    </xf>
    <xf numFmtId="0" fontId="14" fillId="0" borderId="53" xfId="0" applyFont="1" applyBorder="1" applyAlignment="1">
      <alignment vertical="center"/>
    </xf>
    <xf numFmtId="0" fontId="56" fillId="0" borderId="15" xfId="0" applyFont="1" applyBorder="1" applyAlignment="1">
      <alignment horizontal="right" vertical="center"/>
    </xf>
    <xf numFmtId="0" fontId="57" fillId="0" borderId="14" xfId="0" applyFont="1" applyBorder="1" applyAlignment="1">
      <alignment horizontal="right" vertical="center"/>
    </xf>
    <xf numFmtId="0" fontId="48" fillId="0" borderId="68" xfId="0" applyFont="1" applyBorder="1" applyAlignment="1">
      <alignment horizontal="right" vertical="center"/>
    </xf>
    <xf numFmtId="0" fontId="58" fillId="0" borderId="18" xfId="0" applyFont="1" applyBorder="1" applyAlignment="1">
      <alignment horizontal="right" vertical="center" wrapText="1"/>
    </xf>
    <xf numFmtId="2" fontId="39" fillId="4" borderId="0" xfId="0" applyNumberFormat="1" applyFont="1" applyFill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165" fontId="40" fillId="4" borderId="31" xfId="0" applyNumberFormat="1" applyFont="1" applyFill="1" applyBorder="1" applyAlignment="1">
      <alignment horizontal="center" vertical="center"/>
    </xf>
    <xf numFmtId="165" fontId="40" fillId="4" borderId="30" xfId="0" applyNumberFormat="1" applyFont="1" applyFill="1" applyBorder="1" applyAlignment="1">
      <alignment horizontal="center" vertical="center"/>
    </xf>
    <xf numFmtId="165" fontId="40" fillId="4" borderId="50" xfId="0" applyNumberFormat="1" applyFont="1" applyFill="1" applyBorder="1" applyAlignment="1">
      <alignment horizontal="center" vertical="center"/>
    </xf>
    <xf numFmtId="165" fontId="40" fillId="4" borderId="66" xfId="0" applyNumberFormat="1" applyFont="1" applyFill="1" applyBorder="1" applyAlignment="1">
      <alignment horizontal="center" vertical="center"/>
    </xf>
    <xf numFmtId="165" fontId="40" fillId="4" borderId="70" xfId="0" applyNumberFormat="1" applyFont="1" applyFill="1" applyBorder="1" applyAlignment="1">
      <alignment horizontal="center" vertical="center"/>
    </xf>
    <xf numFmtId="165" fontId="40" fillId="4" borderId="71" xfId="0" applyNumberFormat="1" applyFont="1" applyFill="1" applyBorder="1" applyAlignment="1">
      <alignment horizontal="center" vertical="center"/>
    </xf>
    <xf numFmtId="165" fontId="40" fillId="4" borderId="72" xfId="0" applyNumberFormat="1" applyFont="1" applyFill="1" applyBorder="1" applyAlignment="1">
      <alignment horizontal="center" vertical="center"/>
    </xf>
    <xf numFmtId="165" fontId="46" fillId="4" borderId="73" xfId="0" applyNumberFormat="1" applyFont="1" applyFill="1" applyBorder="1" applyAlignment="1">
      <alignment horizontal="center" vertical="center"/>
    </xf>
    <xf numFmtId="165" fontId="44" fillId="4" borderId="40" xfId="0" applyNumberFormat="1" applyFont="1" applyFill="1" applyBorder="1" applyAlignment="1">
      <alignment horizontal="center" vertical="center"/>
    </xf>
    <xf numFmtId="165" fontId="44" fillId="4" borderId="41" xfId="0" applyNumberFormat="1" applyFont="1" applyFill="1" applyBorder="1" applyAlignment="1">
      <alignment horizontal="center" vertical="center"/>
    </xf>
    <xf numFmtId="165" fontId="44" fillId="4" borderId="60" xfId="0" applyNumberFormat="1" applyFont="1" applyFill="1" applyBorder="1" applyAlignment="1">
      <alignment horizontal="center" vertical="center"/>
    </xf>
    <xf numFmtId="165" fontId="44" fillId="4" borderId="69" xfId="0" applyNumberFormat="1" applyFont="1" applyFill="1" applyBorder="1" applyAlignment="1">
      <alignment horizontal="center" vertical="center"/>
    </xf>
    <xf numFmtId="165" fontId="38" fillId="4" borderId="33" xfId="0" applyNumberFormat="1" applyFont="1" applyFill="1" applyBorder="1" applyAlignment="1">
      <alignment horizontal="center" vertical="center"/>
    </xf>
    <xf numFmtId="165" fontId="38" fillId="4" borderId="78" xfId="0" applyNumberFormat="1" applyFont="1" applyFill="1" applyBorder="1" applyAlignment="1">
      <alignment horizontal="center" vertical="center"/>
    </xf>
    <xf numFmtId="165" fontId="38" fillId="4" borderId="79" xfId="0" applyNumberFormat="1" applyFont="1" applyFill="1" applyBorder="1" applyAlignment="1">
      <alignment horizontal="center" vertical="center"/>
    </xf>
    <xf numFmtId="165" fontId="48" fillId="4" borderId="80" xfId="0" applyNumberFormat="1" applyFont="1" applyFill="1" applyBorder="1" applyAlignment="1">
      <alignment horizontal="center" vertical="center"/>
    </xf>
    <xf numFmtId="165" fontId="47" fillId="0" borderId="84" xfId="0" applyNumberFormat="1" applyFont="1" applyBorder="1" applyAlignment="1">
      <alignment horizontal="center" vertical="center"/>
    </xf>
    <xf numFmtId="165" fontId="47" fillId="0" borderId="85" xfId="0" applyNumberFormat="1" applyFont="1" applyBorder="1" applyAlignment="1">
      <alignment horizontal="center" vertical="center"/>
    </xf>
    <xf numFmtId="165" fontId="47" fillId="0" borderId="86" xfId="0" applyNumberFormat="1" applyFont="1" applyBorder="1" applyAlignment="1">
      <alignment horizontal="center" vertical="center"/>
    </xf>
    <xf numFmtId="165" fontId="47" fillId="0" borderId="87" xfId="0" applyNumberFormat="1" applyFont="1" applyBorder="1" applyAlignment="1">
      <alignment horizontal="center" vertical="center"/>
    </xf>
    <xf numFmtId="165" fontId="45" fillId="0" borderId="91" xfId="0" applyNumberFormat="1" applyFont="1" applyBorder="1" applyAlignment="1">
      <alignment horizontal="center" vertical="center"/>
    </xf>
    <xf numFmtId="165" fontId="45" fillId="0" borderId="92" xfId="0" applyNumberFormat="1" applyFont="1" applyBorder="1" applyAlignment="1">
      <alignment horizontal="center" vertical="center"/>
    </xf>
    <xf numFmtId="165" fontId="45" fillId="0" borderId="93" xfId="0" applyNumberFormat="1" applyFont="1" applyBorder="1" applyAlignment="1">
      <alignment horizontal="center" vertical="center"/>
    </xf>
    <xf numFmtId="165" fontId="45" fillId="0" borderId="94" xfId="0" applyNumberFormat="1" applyFont="1" applyBorder="1" applyAlignment="1">
      <alignment horizontal="center" vertical="center"/>
    </xf>
    <xf numFmtId="1" fontId="16" fillId="4" borderId="14" xfId="0" applyNumberFormat="1" applyFont="1" applyFill="1" applyBorder="1" applyAlignment="1">
      <alignment horizontal="center" vertical="center"/>
    </xf>
    <xf numFmtId="1" fontId="16" fillId="4" borderId="18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174" fontId="8" fillId="2" borderId="15" xfId="0" applyNumberFormat="1" applyFont="1" applyFill="1" applyBorder="1" applyAlignment="1">
      <alignment horizontal="center" vertical="center"/>
    </xf>
    <xf numFmtId="174" fontId="8" fillId="0" borderId="18" xfId="4" applyNumberFormat="1" applyFont="1" applyFill="1" applyBorder="1" applyAlignment="1">
      <alignment horizontal="center" vertical="center"/>
    </xf>
    <xf numFmtId="174" fontId="8" fillId="4" borderId="17" xfId="0" applyNumberFormat="1" applyFont="1" applyFill="1" applyBorder="1" applyAlignment="1">
      <alignment horizontal="center" vertical="center"/>
    </xf>
    <xf numFmtId="174" fontId="8" fillId="4" borderId="18" xfId="0" applyNumberFormat="1" applyFont="1" applyFill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9" fontId="16" fillId="10" borderId="18" xfId="4" applyFont="1" applyFill="1" applyBorder="1" applyAlignment="1">
      <alignment horizontal="center" vertical="center" wrapText="1"/>
    </xf>
    <xf numFmtId="174" fontId="16" fillId="10" borderId="14" xfId="0" applyNumberFormat="1" applyFont="1" applyFill="1" applyBorder="1" applyAlignment="1">
      <alignment horizontal="center" vertical="center" wrapText="1"/>
    </xf>
    <xf numFmtId="9" fontId="16" fillId="10" borderId="18" xfId="0" applyNumberFormat="1" applyFont="1" applyFill="1" applyBorder="1" applyAlignment="1">
      <alignment horizontal="center" vertical="center" wrapText="1"/>
    </xf>
    <xf numFmtId="9" fontId="16" fillId="4" borderId="18" xfId="0" applyNumberFormat="1" applyFont="1" applyFill="1" applyBorder="1" applyAlignment="1">
      <alignment horizontal="center" vertical="center" wrapText="1"/>
    </xf>
    <xf numFmtId="174" fontId="8" fillId="0" borderId="15" xfId="0" applyNumberFormat="1" applyFont="1" applyBorder="1" applyAlignment="1">
      <alignment horizontal="center" vertical="center"/>
    </xf>
    <xf numFmtId="174" fontId="16" fillId="4" borderId="15" xfId="0" applyNumberFormat="1" applyFont="1" applyFill="1" applyBorder="1" applyAlignment="1">
      <alignment horizontal="center" vertical="center"/>
    </xf>
    <xf numFmtId="174" fontId="16" fillId="4" borderId="14" xfId="0" applyNumberFormat="1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center" vertical="center"/>
    </xf>
    <xf numFmtId="174" fontId="8" fillId="4" borderId="14" xfId="4" applyNumberFormat="1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 wrapText="1"/>
    </xf>
    <xf numFmtId="0" fontId="31" fillId="10" borderId="22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10" borderId="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vertical="center"/>
    </xf>
    <xf numFmtId="174" fontId="16" fillId="4" borderId="14" xfId="0" applyNumberFormat="1" applyFont="1" applyFill="1" applyBorder="1" applyAlignment="1">
      <alignment horizontal="center" vertical="center" wrapText="1"/>
    </xf>
    <xf numFmtId="0" fontId="14" fillId="0" borderId="95" xfId="0" applyFont="1" applyBorder="1" applyAlignment="1">
      <alignment vertical="center"/>
    </xf>
    <xf numFmtId="0" fontId="14" fillId="0" borderId="95" xfId="0" applyFont="1" applyBorder="1" applyAlignment="1">
      <alignment horizontal="center" vertical="center" wrapText="1"/>
    </xf>
    <xf numFmtId="166" fontId="14" fillId="0" borderId="95" xfId="0" applyNumberFormat="1" applyFont="1" applyBorder="1" applyAlignment="1">
      <alignment horizontal="center" vertical="center" wrapText="1"/>
    </xf>
    <xf numFmtId="9" fontId="14" fillId="0" borderId="95" xfId="6" applyFont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left" vertical="center"/>
    </xf>
    <xf numFmtId="0" fontId="30" fillId="5" borderId="59" xfId="0" applyFont="1" applyFill="1" applyBorder="1" applyAlignment="1">
      <alignment horizontal="left" vertical="center"/>
    </xf>
    <xf numFmtId="0" fontId="30" fillId="5" borderId="28" xfId="0" applyFont="1" applyFill="1" applyBorder="1" applyAlignment="1">
      <alignment horizontal="left" vertical="center"/>
    </xf>
    <xf numFmtId="0" fontId="18" fillId="0" borderId="52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9" fontId="30" fillId="5" borderId="28" xfId="4" applyFont="1" applyFill="1" applyBorder="1" applyAlignment="1">
      <alignment horizontal="left" vertical="center"/>
    </xf>
    <xf numFmtId="9" fontId="30" fillId="5" borderId="52" xfId="4" applyFont="1" applyFill="1" applyBorder="1" applyAlignment="1">
      <alignment horizontal="left" vertical="center"/>
    </xf>
    <xf numFmtId="0" fontId="30" fillId="5" borderId="52" xfId="0" quotePrefix="1" applyFont="1" applyFill="1" applyBorder="1" applyAlignment="1">
      <alignment horizontal="left" vertical="center"/>
    </xf>
    <xf numFmtId="0" fontId="62" fillId="0" borderId="95" xfId="0" applyFont="1" applyBorder="1" applyAlignment="1">
      <alignment horizontal="right" vertical="center"/>
    </xf>
    <xf numFmtId="0" fontId="21" fillId="0" borderId="9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4" fontId="14" fillId="0" borderId="0" xfId="0" applyNumberFormat="1" applyFont="1" applyAlignment="1">
      <alignment horizontal="center" vertical="center" wrapText="1"/>
    </xf>
    <xf numFmtId="9" fontId="23" fillId="0" borderId="95" xfId="6" applyFont="1" applyBorder="1" applyAlignment="1">
      <alignment horizontal="center" vertical="center" wrapText="1"/>
    </xf>
    <xf numFmtId="0" fontId="31" fillId="10" borderId="55" xfId="0" applyFont="1" applyFill="1" applyBorder="1" applyAlignment="1">
      <alignment horizontal="center" vertical="center" wrapText="1"/>
    </xf>
    <xf numFmtId="9" fontId="32" fillId="4" borderId="22" xfId="5" applyFont="1" applyFill="1" applyBorder="1" applyAlignment="1">
      <alignment horizontal="center" vertical="center" wrapText="1"/>
    </xf>
    <xf numFmtId="9" fontId="32" fillId="4" borderId="21" xfId="5" applyFont="1" applyFill="1" applyBorder="1" applyAlignment="1">
      <alignment horizontal="center" vertical="center" wrapText="1"/>
    </xf>
    <xf numFmtId="9" fontId="32" fillId="4" borderId="23" xfId="5" applyFont="1" applyFill="1" applyBorder="1" applyAlignment="1">
      <alignment horizontal="center" vertical="center" wrapText="1"/>
    </xf>
    <xf numFmtId="9" fontId="32" fillId="4" borderId="55" xfId="5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left" vertical="center"/>
    </xf>
    <xf numFmtId="0" fontId="16" fillId="10" borderId="96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96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horizontal="left" vertical="center"/>
    </xf>
    <xf numFmtId="0" fontId="16" fillId="2" borderId="19" xfId="0" applyFont="1" applyFill="1" applyBorder="1" applyAlignment="1">
      <alignment horizontal="left" vertical="center" wrapText="1"/>
    </xf>
    <xf numFmtId="0" fontId="16" fillId="10" borderId="15" xfId="0" applyFont="1" applyFill="1" applyBorder="1" applyAlignment="1">
      <alignment horizontal="left" vertical="center"/>
    </xf>
    <xf numFmtId="0" fontId="0" fillId="5" borderId="0" xfId="0" applyFill="1"/>
    <xf numFmtId="0" fontId="65" fillId="5" borderId="0" xfId="0" applyFont="1" applyFill="1" applyAlignment="1">
      <alignment wrapText="1"/>
    </xf>
    <xf numFmtId="0" fontId="67" fillId="11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2" fillId="11" borderId="10" xfId="0" applyFont="1" applyFill="1" applyBorder="1" applyAlignment="1">
      <alignment horizontal="center" vertical="center" wrapText="1"/>
    </xf>
    <xf numFmtId="0" fontId="72" fillId="12" borderId="10" xfId="0" applyFont="1" applyFill="1" applyBorder="1" applyAlignment="1">
      <alignment horizontal="center" vertical="center" wrapText="1"/>
    </xf>
    <xf numFmtId="0" fontId="72" fillId="13" borderId="10" xfId="0" applyFont="1" applyFill="1" applyBorder="1" applyAlignment="1">
      <alignment horizontal="center" vertical="center" wrapText="1"/>
    </xf>
    <xf numFmtId="0" fontId="32" fillId="5" borderId="0" xfId="0" applyFont="1" applyFill="1"/>
    <xf numFmtId="0" fontId="74" fillId="0" borderId="10" xfId="0" applyFont="1" applyBorder="1" applyAlignment="1">
      <alignment horizontal="center" vertical="center" wrapText="1"/>
    </xf>
    <xf numFmtId="0" fontId="75" fillId="5" borderId="0" xfId="0" applyFont="1" applyFill="1"/>
    <xf numFmtId="0" fontId="72" fillId="11" borderId="49" xfId="0" applyFont="1" applyFill="1" applyBorder="1" applyAlignment="1">
      <alignment horizontal="center" vertical="center" wrapText="1"/>
    </xf>
    <xf numFmtId="0" fontId="73" fillId="10" borderId="10" xfId="0" applyFont="1" applyFill="1" applyBorder="1" applyAlignment="1">
      <alignment horizontal="center" vertical="center" wrapText="1"/>
    </xf>
    <xf numFmtId="0" fontId="0" fillId="14" borderId="10" xfId="0" applyFill="1" applyBorder="1"/>
    <xf numFmtId="0" fontId="0" fillId="0" borderId="10" xfId="0" applyBorder="1"/>
    <xf numFmtId="0" fontId="69" fillId="0" borderId="0" xfId="0" applyFont="1" applyAlignment="1">
      <alignment horizontal="center" vertical="center" wrapText="1"/>
    </xf>
    <xf numFmtId="1" fontId="69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7" fillId="16" borderId="108" xfId="0" applyFont="1" applyFill="1" applyBorder="1" applyAlignment="1">
      <alignment vertical="center" wrapText="1"/>
    </xf>
    <xf numFmtId="0" fontId="69" fillId="0" borderId="10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6" fillId="5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1" fontId="0" fillId="0" borderId="0" xfId="0" applyNumberForma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9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6" fillId="5" borderId="0" xfId="0" applyFont="1" applyFill="1" applyAlignment="1">
      <alignment vertical="center" wrapText="1"/>
    </xf>
    <xf numFmtId="0" fontId="0" fillId="0" borderId="48" xfId="0" applyBorder="1" applyAlignment="1">
      <alignment vertical="center"/>
    </xf>
    <xf numFmtId="165" fontId="0" fillId="0" borderId="0" xfId="0" applyNumberFormat="1" applyAlignment="1">
      <alignment vertical="center"/>
    </xf>
    <xf numFmtId="0" fontId="50" fillId="0" borderId="10" xfId="0" applyFont="1" applyBorder="1" applyAlignment="1">
      <alignment vertical="center"/>
    </xf>
    <xf numFmtId="0" fontId="78" fillId="15" borderId="10" xfId="0" applyFont="1" applyFill="1" applyBorder="1" applyAlignment="1">
      <alignment horizontal="center" vertical="center" wrapText="1"/>
    </xf>
    <xf numFmtId="0" fontId="68" fillId="0" borderId="109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76" fillId="5" borderId="19" xfId="0" applyFont="1" applyFill="1" applyBorder="1" applyAlignment="1">
      <alignment horizontal="center" vertical="center" wrapText="1"/>
    </xf>
    <xf numFmtId="0" fontId="76" fillId="5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9" fontId="0" fillId="0" borderId="10" xfId="5" applyFont="1" applyBorder="1" applyAlignment="1">
      <alignment horizontal="center" vertical="center"/>
    </xf>
    <xf numFmtId="0" fontId="76" fillId="5" borderId="48" xfId="0" applyFont="1" applyFill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6" fillId="5" borderId="0" xfId="0" applyFont="1" applyFill="1" applyAlignment="1">
      <alignment horizontal="center"/>
    </xf>
    <xf numFmtId="0" fontId="36" fillId="0" borderId="0" xfId="0" applyFont="1" applyAlignment="1">
      <alignment horizontal="left" vertical="center"/>
    </xf>
    <xf numFmtId="0" fontId="66" fillId="5" borderId="0" xfId="0" applyFont="1" applyFill="1" applyAlignment="1">
      <alignment horizontal="left"/>
    </xf>
    <xf numFmtId="165" fontId="28" fillId="0" borderId="0" xfId="0" applyNumberFormat="1" applyFont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5" fontId="79" fillId="11" borderId="10" xfId="0" applyNumberFormat="1" applyFont="1" applyFill="1" applyBorder="1" applyAlignment="1">
      <alignment horizontal="center" vertical="center" wrapText="1"/>
    </xf>
    <xf numFmtId="165" fontId="74" fillId="0" borderId="10" xfId="0" applyNumberFormat="1" applyFont="1" applyBorder="1" applyAlignment="1">
      <alignment horizontal="center" vertical="center" wrapText="1"/>
    </xf>
    <xf numFmtId="165" fontId="70" fillId="0" borderId="10" xfId="0" applyNumberFormat="1" applyFont="1" applyBorder="1" applyAlignment="1">
      <alignment horizontal="center" vertical="center" wrapText="1"/>
    </xf>
    <xf numFmtId="165" fontId="74" fillId="4" borderId="10" xfId="0" applyNumberFormat="1" applyFont="1" applyFill="1" applyBorder="1" applyAlignment="1">
      <alignment horizontal="center" vertical="center" wrapText="1"/>
    </xf>
    <xf numFmtId="165" fontId="69" fillId="0" borderId="10" xfId="0" applyNumberFormat="1" applyFont="1" applyBorder="1" applyAlignment="1">
      <alignment horizontal="center" vertical="center" wrapText="1"/>
    </xf>
    <xf numFmtId="165" fontId="72" fillId="13" borderId="41" xfId="0" applyNumberFormat="1" applyFont="1" applyFill="1" applyBorder="1" applyAlignment="1">
      <alignment horizontal="center" vertical="center" wrapText="1"/>
    </xf>
    <xf numFmtId="165" fontId="72" fillId="6" borderId="41" xfId="0" applyNumberFormat="1" applyFont="1" applyFill="1" applyBorder="1" applyAlignment="1">
      <alignment horizontal="center" vertical="center" wrapText="1"/>
    </xf>
    <xf numFmtId="165" fontId="67" fillId="11" borderId="10" xfId="0" applyNumberFormat="1" applyFont="1" applyFill="1" applyBorder="1" applyAlignment="1">
      <alignment horizontal="center" vertical="center" wrapText="1"/>
    </xf>
    <xf numFmtId="165" fontId="68" fillId="10" borderId="10" xfId="0" applyNumberFormat="1" applyFont="1" applyFill="1" applyBorder="1" applyAlignment="1">
      <alignment horizontal="center" vertical="center" wrapText="1"/>
    </xf>
    <xf numFmtId="0" fontId="80" fillId="10" borderId="96" xfId="0" applyFont="1" applyFill="1" applyBorder="1" applyAlignment="1">
      <alignment horizontal="left" vertical="center" wrapText="1"/>
    </xf>
    <xf numFmtId="0" fontId="80" fillId="10" borderId="52" xfId="0" applyFont="1" applyFill="1" applyBorder="1" applyAlignment="1">
      <alignment horizontal="left" vertical="center" wrapText="1"/>
    </xf>
    <xf numFmtId="174" fontId="16" fillId="4" borderId="18" xfId="0" applyNumberFormat="1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vertical="center" wrapText="1"/>
    </xf>
    <xf numFmtId="0" fontId="77" fillId="15" borderId="100" xfId="0" applyFont="1" applyFill="1" applyBorder="1" applyAlignment="1">
      <alignment horizontal="center" vertical="center" wrapText="1"/>
    </xf>
    <xf numFmtId="0" fontId="77" fillId="15" borderId="103" xfId="0" applyFont="1" applyFill="1" applyBorder="1" applyAlignment="1">
      <alignment horizontal="center" vertical="center" wrapText="1"/>
    </xf>
    <xf numFmtId="0" fontId="77" fillId="15" borderId="97" xfId="0" applyFont="1" applyFill="1" applyBorder="1" applyAlignment="1">
      <alignment horizontal="center" vertical="center" wrapText="1"/>
    </xf>
    <xf numFmtId="0" fontId="77" fillId="15" borderId="101" xfId="0" applyFont="1" applyFill="1" applyBorder="1" applyAlignment="1">
      <alignment horizontal="center" vertical="center" wrapText="1"/>
    </xf>
    <xf numFmtId="0" fontId="77" fillId="15" borderId="104" xfId="0" applyFont="1" applyFill="1" applyBorder="1" applyAlignment="1">
      <alignment horizontal="center" vertical="center" wrapText="1"/>
    </xf>
    <xf numFmtId="0" fontId="77" fillId="15" borderId="98" xfId="0" applyFont="1" applyFill="1" applyBorder="1" applyAlignment="1">
      <alignment horizontal="center" vertical="center" wrapText="1"/>
    </xf>
    <xf numFmtId="0" fontId="77" fillId="15" borderId="102" xfId="0" applyFont="1" applyFill="1" applyBorder="1" applyAlignment="1">
      <alignment horizontal="center" vertical="center" wrapText="1"/>
    </xf>
    <xf numFmtId="0" fontId="77" fillId="15" borderId="105" xfId="0" applyFont="1" applyFill="1" applyBorder="1" applyAlignment="1">
      <alignment horizontal="center" vertical="center" wrapText="1"/>
    </xf>
    <xf numFmtId="0" fontId="77" fillId="15" borderId="9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7" fillId="16" borderId="102" xfId="0" applyFont="1" applyFill="1" applyBorder="1" applyAlignment="1">
      <alignment vertical="center" wrapText="1"/>
    </xf>
    <xf numFmtId="0" fontId="77" fillId="16" borderId="99" xfId="0" applyFont="1" applyFill="1" applyBorder="1" applyAlignment="1">
      <alignment vertical="center" wrapText="1"/>
    </xf>
    <xf numFmtId="0" fontId="77" fillId="16" borderId="101" xfId="0" applyFont="1" applyFill="1" applyBorder="1" applyAlignment="1">
      <alignment vertical="center" wrapText="1"/>
    </xf>
    <xf numFmtId="0" fontId="77" fillId="16" borderId="98" xfId="0" applyFont="1" applyFill="1" applyBorder="1" applyAlignment="1">
      <alignment vertical="center" wrapText="1"/>
    </xf>
    <xf numFmtId="0" fontId="77" fillId="16" borderId="100" xfId="0" applyFont="1" applyFill="1" applyBorder="1" applyAlignment="1">
      <alignment vertical="center" wrapText="1"/>
    </xf>
    <xf numFmtId="0" fontId="77" fillId="16" borderId="97" xfId="0" applyFont="1" applyFill="1" applyBorder="1" applyAlignment="1">
      <alignment vertical="center" wrapText="1"/>
    </xf>
    <xf numFmtId="0" fontId="77" fillId="16" borderId="107" xfId="0" applyFont="1" applyFill="1" applyBorder="1" applyAlignment="1">
      <alignment vertical="center" wrapText="1"/>
    </xf>
    <xf numFmtId="0" fontId="77" fillId="16" borderId="106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6" fontId="14" fillId="0" borderId="95" xfId="0" applyNumberFormat="1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" fillId="0" borderId="0" xfId="3" applyFont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6" fillId="6" borderId="0" xfId="3" applyFont="1" applyFill="1" applyAlignment="1">
      <alignment horizontal="center" vertical="center" wrapText="1"/>
    </xf>
    <xf numFmtId="0" fontId="27" fillId="0" borderId="48" xfId="1" applyFont="1" applyFill="1" applyBorder="1" applyAlignment="1">
      <alignment horizontal="left" vertical="center"/>
    </xf>
    <xf numFmtId="0" fontId="27" fillId="0" borderId="19" xfId="1" applyFont="1" applyFill="1" applyBorder="1" applyAlignment="1">
      <alignment horizontal="left" vertical="center"/>
    </xf>
    <xf numFmtId="0" fontId="27" fillId="0" borderId="49" xfId="1" applyFont="1" applyFill="1" applyBorder="1" applyAlignment="1">
      <alignment horizontal="left" vertical="center"/>
    </xf>
    <xf numFmtId="0" fontId="27" fillId="0" borderId="46" xfId="1" applyFont="1" applyBorder="1" applyAlignment="1">
      <alignment horizontal="left" vertical="center"/>
    </xf>
    <xf numFmtId="0" fontId="27" fillId="0" borderId="43" xfId="1" applyFont="1" applyBorder="1" applyAlignment="1">
      <alignment horizontal="left" vertical="center"/>
    </xf>
    <xf numFmtId="0" fontId="27" fillId="0" borderId="47" xfId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166" fontId="8" fillId="0" borderId="37" xfId="0" applyNumberFormat="1" applyFont="1" applyBorder="1" applyAlignment="1">
      <alignment horizontal="center" vertical="center"/>
    </xf>
    <xf numFmtId="166" fontId="8" fillId="4" borderId="22" xfId="0" applyNumberFormat="1" applyFont="1" applyFill="1" applyBorder="1" applyAlignment="1">
      <alignment horizontal="center" vertical="center" wrapText="1"/>
    </xf>
    <xf numFmtId="167" fontId="8" fillId="0" borderId="30" xfId="0" applyNumberFormat="1" applyFont="1" applyBorder="1" applyAlignment="1">
      <alignment horizontal="center" vertical="center"/>
    </xf>
    <xf numFmtId="168" fontId="8" fillId="0" borderId="37" xfId="0" applyNumberFormat="1" applyFont="1" applyBorder="1" applyAlignment="1">
      <alignment horizontal="center" vertical="center"/>
    </xf>
    <xf numFmtId="169" fontId="21" fillId="0" borderId="2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6" fillId="7" borderId="25" xfId="0" applyFont="1" applyFill="1" applyBorder="1" applyAlignment="1">
      <alignment horizontal="center" vertical="center" wrapText="1"/>
    </xf>
    <xf numFmtId="0" fontId="16" fillId="7" borderId="54" xfId="0" applyFont="1" applyFill="1" applyBorder="1" applyAlignment="1">
      <alignment horizontal="center" vertical="center" wrapText="1"/>
    </xf>
    <xf numFmtId="166" fontId="8" fillId="0" borderId="3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16" fillId="9" borderId="3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6" fillId="9" borderId="35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left" vertical="center" wrapText="1"/>
    </xf>
    <xf numFmtId="170" fontId="21" fillId="0" borderId="2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6" fontId="8" fillId="0" borderId="56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6" fontId="8" fillId="0" borderId="49" xfId="0" applyNumberFormat="1" applyFont="1" applyBorder="1" applyAlignment="1">
      <alignment horizontal="center" vertical="center"/>
    </xf>
    <xf numFmtId="166" fontId="8" fillId="0" borderId="57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63" xfId="0" applyNumberFormat="1" applyFont="1" applyBorder="1" applyAlignment="1">
      <alignment horizontal="center" vertical="center"/>
    </xf>
    <xf numFmtId="166" fontId="8" fillId="4" borderId="25" xfId="0" applyNumberFormat="1" applyFont="1" applyFill="1" applyBorder="1" applyAlignment="1">
      <alignment horizontal="center" vertical="center" wrapText="1"/>
    </xf>
    <xf numFmtId="166" fontId="8" fillId="4" borderId="54" xfId="0" applyNumberFormat="1" applyFont="1" applyFill="1" applyBorder="1" applyAlignment="1">
      <alignment horizontal="center" vertical="center" wrapText="1"/>
    </xf>
    <xf numFmtId="166" fontId="8" fillId="4" borderId="61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9" borderId="22" xfId="0" applyFont="1" applyFill="1" applyBorder="1" applyAlignment="1">
      <alignment horizontal="left" vertical="center"/>
    </xf>
    <xf numFmtId="0" fontId="8" fillId="9" borderId="23" xfId="0" applyFont="1" applyFill="1" applyBorder="1" applyAlignment="1">
      <alignment horizontal="left" vertical="center"/>
    </xf>
    <xf numFmtId="0" fontId="16" fillId="7" borderId="22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16" fillId="9" borderId="54" xfId="0" applyFont="1" applyFill="1" applyBorder="1" applyAlignment="1">
      <alignment horizontal="center" vertical="center" wrapText="1"/>
    </xf>
    <xf numFmtId="0" fontId="16" fillId="9" borderId="61" xfId="0" applyFont="1" applyFill="1" applyBorder="1" applyAlignment="1">
      <alignment horizontal="center" vertical="center" wrapText="1"/>
    </xf>
    <xf numFmtId="166" fontId="8" fillId="0" borderId="51" xfId="0" applyNumberFormat="1" applyFont="1" applyBorder="1" applyAlignment="1">
      <alignment horizontal="center" vertical="center"/>
    </xf>
    <xf numFmtId="166" fontId="8" fillId="0" borderId="64" xfId="0" applyNumberFormat="1" applyFont="1" applyBorder="1" applyAlignment="1">
      <alignment horizontal="center" vertical="center"/>
    </xf>
    <xf numFmtId="166" fontId="8" fillId="0" borderId="62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 wrapText="1"/>
    </xf>
    <xf numFmtId="0" fontId="29" fillId="5" borderId="30" xfId="0" applyFont="1" applyFill="1" applyBorder="1" applyAlignment="1">
      <alignment horizontal="left" vertical="center" wrapText="1"/>
    </xf>
    <xf numFmtId="0" fontId="24" fillId="5" borderId="10" xfId="0" applyFont="1" applyFill="1" applyBorder="1" applyAlignment="1">
      <alignment horizontal="left" vertical="center" wrapText="1"/>
    </xf>
    <xf numFmtId="0" fontId="19" fillId="5" borderId="35" xfId="0" applyFont="1" applyFill="1" applyBorder="1" applyAlignment="1">
      <alignment horizontal="center" vertical="center" textRotation="90" wrapText="1"/>
    </xf>
    <xf numFmtId="0" fontId="19" fillId="5" borderId="33" xfId="0" applyFont="1" applyFill="1" applyBorder="1" applyAlignment="1">
      <alignment horizontal="center" vertical="center" textRotation="90" wrapText="1"/>
    </xf>
    <xf numFmtId="0" fontId="19" fillId="5" borderId="34" xfId="0" applyFont="1" applyFill="1" applyBorder="1" applyAlignment="1">
      <alignment horizontal="center" vertical="center" textRotation="90" wrapText="1"/>
    </xf>
    <xf numFmtId="0" fontId="16" fillId="9" borderId="22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left" vertical="center" wrapText="1"/>
    </xf>
    <xf numFmtId="1" fontId="16" fillId="5" borderId="30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/>
    </xf>
    <xf numFmtId="173" fontId="8" fillId="5" borderId="10" xfId="0" applyNumberFormat="1" applyFont="1" applyFill="1" applyBorder="1" applyAlignment="1">
      <alignment horizontal="center" vertical="center"/>
    </xf>
    <xf numFmtId="177" fontId="8" fillId="5" borderId="10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left" vertical="center" wrapText="1"/>
    </xf>
    <xf numFmtId="0" fontId="8" fillId="5" borderId="41" xfId="0" applyFont="1" applyFill="1" applyBorder="1" applyAlignment="1">
      <alignment horizontal="left" vertical="center" wrapText="1"/>
    </xf>
    <xf numFmtId="172" fontId="8" fillId="5" borderId="10" xfId="0" applyNumberFormat="1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30" fillId="5" borderId="30" xfId="0" applyFont="1" applyFill="1" applyBorder="1" applyAlignment="1">
      <alignment horizontal="left" vertical="center"/>
    </xf>
    <xf numFmtId="0" fontId="30" fillId="5" borderId="3" xfId="0" applyFont="1" applyFill="1" applyBorder="1" applyAlignment="1">
      <alignment horizontal="left" vertical="center"/>
    </xf>
    <xf numFmtId="174" fontId="8" fillId="5" borderId="10" xfId="0" applyNumberFormat="1" applyFont="1" applyFill="1" applyBorder="1" applyAlignment="1">
      <alignment horizontal="center" vertical="center"/>
    </xf>
    <xf numFmtId="175" fontId="8" fillId="4" borderId="37" xfId="0" applyNumberFormat="1" applyFont="1" applyFill="1" applyBorder="1" applyAlignment="1">
      <alignment horizontal="center" vertical="center" wrapText="1"/>
    </xf>
    <xf numFmtId="0" fontId="16" fillId="9" borderId="55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left" vertical="center"/>
    </xf>
    <xf numFmtId="0" fontId="30" fillId="5" borderId="5" xfId="0" applyFont="1" applyFill="1" applyBorder="1" applyAlignment="1">
      <alignment horizontal="left" vertical="center"/>
    </xf>
    <xf numFmtId="177" fontId="8" fillId="5" borderId="41" xfId="0" applyNumberFormat="1" applyFont="1" applyFill="1" applyBorder="1" applyAlignment="1">
      <alignment horizontal="center" vertical="center"/>
    </xf>
    <xf numFmtId="174" fontId="8" fillId="5" borderId="30" xfId="0" applyNumberFormat="1" applyFont="1" applyFill="1" applyBorder="1" applyAlignment="1">
      <alignment horizontal="center" vertical="center"/>
    </xf>
    <xf numFmtId="0" fontId="30" fillId="5" borderId="41" xfId="0" applyFont="1" applyFill="1" applyBorder="1" applyAlignment="1">
      <alignment horizontal="left" vertical="center"/>
    </xf>
    <xf numFmtId="0" fontId="30" fillId="5" borderId="42" xfId="0" applyFont="1" applyFill="1" applyBorder="1" applyAlignment="1">
      <alignment horizontal="left" vertical="center"/>
    </xf>
    <xf numFmtId="0" fontId="23" fillId="5" borderId="11" xfId="0" applyFont="1" applyFill="1" applyBorder="1" applyAlignment="1">
      <alignment horizontal="left" vertical="center" wrapText="1"/>
    </xf>
    <xf numFmtId="0" fontId="39" fillId="8" borderId="75" xfId="0" applyFont="1" applyFill="1" applyBorder="1" applyAlignment="1">
      <alignment horizontal="right" vertical="center" wrapText="1"/>
    </xf>
    <xf numFmtId="0" fontId="39" fillId="8" borderId="76" xfId="0" applyFont="1" applyFill="1" applyBorder="1" applyAlignment="1">
      <alignment horizontal="right" vertical="center" wrapText="1"/>
    </xf>
    <xf numFmtId="0" fontId="39" fillId="8" borderId="77" xfId="0" applyFont="1" applyFill="1" applyBorder="1" applyAlignment="1">
      <alignment horizontal="right" vertical="center" wrapText="1"/>
    </xf>
    <xf numFmtId="0" fontId="30" fillId="5" borderId="37" xfId="0" applyFont="1" applyFill="1" applyBorder="1" applyAlignment="1">
      <alignment horizontal="left" vertical="center"/>
    </xf>
    <xf numFmtId="0" fontId="30" fillId="5" borderId="7" xfId="0" applyFont="1" applyFill="1" applyBorder="1" applyAlignment="1">
      <alignment horizontal="left" vertical="center"/>
    </xf>
    <xf numFmtId="0" fontId="18" fillId="5" borderId="10" xfId="0" applyFont="1" applyFill="1" applyBorder="1" applyAlignment="1">
      <alignment horizontal="left" vertical="center"/>
    </xf>
    <xf numFmtId="0" fontId="18" fillId="5" borderId="5" xfId="0" applyFont="1" applyFill="1" applyBorder="1" applyAlignment="1">
      <alignment horizontal="left" vertical="center"/>
    </xf>
    <xf numFmtId="0" fontId="16" fillId="5" borderId="37" xfId="0" applyFont="1" applyFill="1" applyBorder="1" applyAlignment="1">
      <alignment horizontal="left" vertical="center" wrapText="1"/>
    </xf>
    <xf numFmtId="0" fontId="40" fillId="0" borderId="26" xfId="0" applyFont="1" applyBorder="1" applyAlignment="1">
      <alignment horizontal="right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27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1" xfId="0" applyFont="1" applyBorder="1" applyAlignment="1">
      <alignment horizontal="right" vertical="center" wrapText="1"/>
    </xf>
    <xf numFmtId="0" fontId="47" fillId="0" borderId="81" xfId="0" applyFont="1" applyBorder="1" applyAlignment="1">
      <alignment horizontal="right" vertical="center" wrapText="1"/>
    </xf>
    <xf numFmtId="0" fontId="47" fillId="0" borderId="82" xfId="0" applyFont="1" applyBorder="1" applyAlignment="1">
      <alignment horizontal="right" vertical="center" wrapText="1"/>
    </xf>
    <xf numFmtId="0" fontId="47" fillId="0" borderId="83" xfId="0" applyFont="1" applyBorder="1" applyAlignment="1">
      <alignment horizontal="right" vertical="center" wrapText="1"/>
    </xf>
    <xf numFmtId="0" fontId="45" fillId="0" borderId="88" xfId="0" applyFont="1" applyBorder="1" applyAlignment="1">
      <alignment horizontal="right" vertical="center" wrapText="1"/>
    </xf>
    <xf numFmtId="0" fontId="45" fillId="0" borderId="89" xfId="0" applyFont="1" applyBorder="1" applyAlignment="1">
      <alignment horizontal="right" vertical="center" wrapText="1"/>
    </xf>
    <xf numFmtId="0" fontId="45" fillId="0" borderId="90" xfId="0" applyFont="1" applyBorder="1" applyAlignment="1">
      <alignment horizontal="right" vertical="center" wrapText="1"/>
    </xf>
    <xf numFmtId="0" fontId="38" fillId="0" borderId="29" xfId="0" applyFont="1" applyBorder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38" fillId="0" borderId="1" xfId="0" applyFont="1" applyBorder="1" applyAlignment="1">
      <alignment horizontal="right" vertical="center" wrapText="1"/>
    </xf>
    <xf numFmtId="0" fontId="31" fillId="10" borderId="25" xfId="0" applyFont="1" applyFill="1" applyBorder="1" applyAlignment="1">
      <alignment horizontal="center" vertical="center" wrapText="1"/>
    </xf>
    <xf numFmtId="0" fontId="31" fillId="10" borderId="54" xfId="0" applyFont="1" applyFill="1" applyBorder="1" applyAlignment="1">
      <alignment horizontal="center" vertical="center" wrapText="1"/>
    </xf>
    <xf numFmtId="0" fontId="31" fillId="10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4" xfId="0" applyFont="1" applyFill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1" fillId="0" borderId="6" xfId="0" applyFont="1" applyBorder="1" applyAlignment="1">
      <alignment horizontal="center" vertical="center" textRotation="90"/>
    </xf>
    <xf numFmtId="0" fontId="21" fillId="0" borderId="4" xfId="0" applyFont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14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17" xfId="0" applyFont="1" applyFill="1" applyBorder="1" applyAlignment="1">
      <alignment horizontal="center" vertical="center" textRotation="90"/>
    </xf>
    <xf numFmtId="0" fontId="31" fillId="10" borderId="96" xfId="0" applyFont="1" applyFill="1" applyBorder="1" applyAlignment="1">
      <alignment horizontal="left" vertical="center" wrapText="1"/>
    </xf>
    <xf numFmtId="0" fontId="31" fillId="10" borderId="2" xfId="0" applyFont="1" applyFill="1" applyBorder="1" applyAlignment="1">
      <alignment horizontal="left" vertical="center" wrapText="1"/>
    </xf>
    <xf numFmtId="1" fontId="16" fillId="4" borderId="26" xfId="0" applyNumberFormat="1" applyFont="1" applyFill="1" applyBorder="1" applyAlignment="1">
      <alignment horizontal="center" vertical="center"/>
    </xf>
    <xf numFmtId="1" fontId="31" fillId="4" borderId="24" xfId="0" applyNumberFormat="1" applyFont="1" applyFill="1" applyBorder="1" applyAlignment="1">
      <alignment horizontal="center" vertical="center"/>
    </xf>
    <xf numFmtId="1" fontId="31" fillId="4" borderId="13" xfId="0" applyNumberFormat="1" applyFont="1" applyFill="1" applyBorder="1" applyAlignment="1">
      <alignment horizontal="center" vertical="center"/>
    </xf>
    <xf numFmtId="1" fontId="31" fillId="4" borderId="4" xfId="0" applyNumberFormat="1" applyFont="1" applyFill="1" applyBorder="1" applyAlignment="1">
      <alignment horizontal="center" vertical="center"/>
    </xf>
    <xf numFmtId="0" fontId="30" fillId="5" borderId="18" xfId="0" quotePrefix="1" applyFont="1" applyFill="1" applyBorder="1" applyAlignment="1">
      <alignment horizontal="left" vertical="center"/>
    </xf>
    <xf numFmtId="0" fontId="30" fillId="5" borderId="4" xfId="0" quotePrefix="1" applyFont="1" applyFill="1" applyBorder="1" applyAlignment="1">
      <alignment horizontal="left" vertical="center"/>
    </xf>
  </cellXfs>
  <cellStyles count="7">
    <cellStyle name="Lien hypertexte" xfId="1" builtinId="8"/>
    <cellStyle name="Normal" xfId="0" builtinId="0"/>
    <cellStyle name="Normal 2" xfId="2" xr:uid="{00000000-0005-0000-0000-000002000000}"/>
    <cellStyle name="Normal 5" xfId="3" xr:uid="{00000000-0005-0000-0000-000003000000}"/>
    <cellStyle name="Pourcentage" xfId="4" builtinId="5"/>
    <cellStyle name="Pourcentage 2" xfId="5" xr:uid="{00000000-0005-0000-0000-000005000000}"/>
    <cellStyle name="Pourcentage 3" xfId="6" xr:uid="{00000000-0005-0000-0000-000006000000}"/>
  </cellStyles>
  <dxfs count="3"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0E29F0"/>
      <color rgb="FFFF33CC"/>
      <color rgb="FF990099"/>
      <color rgb="FFFFFF99"/>
      <color rgb="FFCC0000"/>
      <color rgb="FFCC0099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Production d'eau chaude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142842694351498E-2"/>
          <c:y val="8.9558055555555557E-2"/>
          <c:w val="0.87861637612366539"/>
          <c:h val="0.730768611111111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 1 Besoins'!$B$43</c:f>
              <c:strCache>
                <c:ptCount val="1"/>
                <c:pt idx="0">
                  <c:v>ECS à 55 °C (MWh)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'Tableau 1 Besoins'!$C$42:$N$42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1 Besoins'!$C$43:$N$43</c:f>
              <c:numCache>
                <c:formatCode>0.0" MWh"</c:formatCode>
                <c:ptCount val="12"/>
                <c:pt idx="0">
                  <c:v>6.37</c:v>
                </c:pt>
                <c:pt idx="1">
                  <c:v>5.93</c:v>
                </c:pt>
                <c:pt idx="2">
                  <c:v>6.28</c:v>
                </c:pt>
                <c:pt idx="3">
                  <c:v>5.87</c:v>
                </c:pt>
                <c:pt idx="4">
                  <c:v>5.81</c:v>
                </c:pt>
                <c:pt idx="5">
                  <c:v>5.51</c:v>
                </c:pt>
                <c:pt idx="6">
                  <c:v>5.53</c:v>
                </c:pt>
                <c:pt idx="7">
                  <c:v>5.07</c:v>
                </c:pt>
                <c:pt idx="8">
                  <c:v>5.71</c:v>
                </c:pt>
                <c:pt idx="9">
                  <c:v>5.81</c:v>
                </c:pt>
                <c:pt idx="10">
                  <c:v>5.87</c:v>
                </c:pt>
                <c:pt idx="11">
                  <c:v>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2-4E1E-A907-84C89BB4C4AD}"/>
            </c:ext>
          </c:extLst>
        </c:ser>
        <c:ser>
          <c:idx val="1"/>
          <c:order val="1"/>
          <c:tx>
            <c:strRef>
              <c:f>'Tableau 1 Besoins'!$B$44</c:f>
              <c:strCache>
                <c:ptCount val="1"/>
                <c:pt idx="0">
                  <c:v>Chauffage (MWh)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cat>
            <c:strRef>
              <c:f>'Tableau 1 Besoins'!$C$42:$N$42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1 Besoins'!$C$44:$N$44</c:f>
              <c:numCache>
                <c:formatCode>0.0" MWh"</c:formatCode>
                <c:ptCount val="12"/>
                <c:pt idx="0">
                  <c:v>18.5</c:v>
                </c:pt>
                <c:pt idx="1">
                  <c:v>11.93</c:v>
                </c:pt>
                <c:pt idx="2">
                  <c:v>6.1</c:v>
                </c:pt>
                <c:pt idx="3">
                  <c:v>3.45</c:v>
                </c:pt>
                <c:pt idx="4">
                  <c:v>0.72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3.42</c:v>
                </c:pt>
                <c:pt idx="10">
                  <c:v>11.53</c:v>
                </c:pt>
                <c:pt idx="11">
                  <c:v>18.04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2-4E1E-A907-84C89BB4C4AD}"/>
            </c:ext>
          </c:extLst>
        </c:ser>
        <c:ser>
          <c:idx val="2"/>
          <c:order val="2"/>
          <c:tx>
            <c:strRef>
              <c:f>'Tableau 1 Besoins'!$B$45</c:f>
              <c:strCache>
                <c:ptCount val="1"/>
                <c:pt idx="0">
                  <c:v>Pertes ECS+Chauffage (stockage, boucle distribution) (MWh)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cat>
            <c:strRef>
              <c:f>'Tableau 1 Besoins'!$C$42:$N$42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1 Besoins'!$C$45:$N$45</c:f>
              <c:numCache>
                <c:formatCode>0.0" MWh"</c:formatCode>
                <c:ptCount val="12"/>
                <c:pt idx="0">
                  <c:v>4.68</c:v>
                </c:pt>
                <c:pt idx="1">
                  <c:v>3.38</c:v>
                </c:pt>
                <c:pt idx="2">
                  <c:v>2.4700000000000002</c:v>
                </c:pt>
                <c:pt idx="3">
                  <c:v>1.91</c:v>
                </c:pt>
                <c:pt idx="4">
                  <c:v>1.44</c:v>
                </c:pt>
                <c:pt idx="5">
                  <c:v>1.25</c:v>
                </c:pt>
                <c:pt idx="6">
                  <c:v>1.36</c:v>
                </c:pt>
                <c:pt idx="7">
                  <c:v>1.19</c:v>
                </c:pt>
                <c:pt idx="8">
                  <c:v>1.67</c:v>
                </c:pt>
                <c:pt idx="9">
                  <c:v>1.92</c:v>
                </c:pt>
                <c:pt idx="10">
                  <c:v>3.34</c:v>
                </c:pt>
                <c:pt idx="11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2-4E1E-A907-84C89BB4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152688"/>
        <c:axId val="467153016"/>
      </c:barChart>
      <c:lineChart>
        <c:grouping val="stacked"/>
        <c:varyColors val="0"/>
        <c:ser>
          <c:idx val="3"/>
          <c:order val="3"/>
          <c:tx>
            <c:strRef>
              <c:f>'Tableau 1 Besoins'!$B$46</c:f>
              <c:strCache>
                <c:ptCount val="1"/>
                <c:pt idx="0">
                  <c:v>TOTAL (MWh)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'Tableau 1 Besoins'!$C$42:$N$42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1 Besoins'!$C$46:$N$46</c:f>
              <c:numCache>
                <c:formatCode>0.0" MWh"</c:formatCode>
                <c:ptCount val="12"/>
                <c:pt idx="0">
                  <c:v>29.55</c:v>
                </c:pt>
                <c:pt idx="1">
                  <c:v>21.24</c:v>
                </c:pt>
                <c:pt idx="2">
                  <c:v>14.85</c:v>
                </c:pt>
                <c:pt idx="3">
                  <c:v>11.23</c:v>
                </c:pt>
                <c:pt idx="4">
                  <c:v>7.9699999999999989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</c:v>
                </c:pt>
                <c:pt idx="9">
                  <c:v>11.15</c:v>
                </c:pt>
                <c:pt idx="10">
                  <c:v>20.74</c:v>
                </c:pt>
                <c:pt idx="11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E2-4E1E-A907-84C89BB4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09360"/>
        <c:axId val="446009032"/>
      </c:lineChart>
      <c:catAx>
        <c:axId val="46715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53016"/>
        <c:crosses val="autoZero"/>
        <c:auto val="1"/>
        <c:lblAlgn val="ctr"/>
        <c:lblOffset val="100"/>
        <c:noMultiLvlLbl val="0"/>
      </c:catAx>
      <c:valAx>
        <c:axId val="46715301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Besoins ECS ,</a:t>
                </a:r>
                <a:r>
                  <a:rPr lang="fr-FR" b="1" baseline="0"/>
                  <a:t> chauffage &amp; pertes globales (MWh)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52688"/>
        <c:crosses val="autoZero"/>
        <c:crossBetween val="between"/>
      </c:valAx>
      <c:valAx>
        <c:axId val="446009032"/>
        <c:scaling>
          <c:orientation val="minMax"/>
          <c:max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>
                    <a:solidFill>
                      <a:srgbClr val="FF0000"/>
                    </a:solidFill>
                  </a:rPr>
                  <a:t>Consommation de production d'eau chaude (MWh)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009360"/>
        <c:crosses val="max"/>
        <c:crossBetween val="between"/>
      </c:valAx>
      <c:catAx>
        <c:axId val="446009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600903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990099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33CC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2172284938938096"/>
          <c:y val="0.12595944444444443"/>
          <c:w val="0.59872317430909372"/>
          <c:h val="0.16872339660047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Production d'eau chaude</a:t>
            </a:r>
          </a:p>
        </c:rich>
      </c:tx>
      <c:layout>
        <c:manualLayout>
          <c:xMode val="edge"/>
          <c:yMode val="edge"/>
          <c:x val="0.3521624683573000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8976634910098787E-2"/>
          <c:y val="6.7027777777777783E-2"/>
          <c:w val="0.82792262571409092"/>
          <c:h val="0.75870527777777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 2 Installation'!$B$30</c:f>
              <c:strCache>
                <c:ptCount val="1"/>
                <c:pt idx="0">
                  <c:v>Production solaire utile (MWh)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'Tableau 2 Installation'!$F$29:$Q$29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2 Installation'!$F$30:$Q$30</c:f>
              <c:numCache>
                <c:formatCode>0.0</c:formatCode>
                <c:ptCount val="12"/>
                <c:pt idx="0">
                  <c:v>4.6099999999999994</c:v>
                </c:pt>
                <c:pt idx="1">
                  <c:v>7.89</c:v>
                </c:pt>
                <c:pt idx="2">
                  <c:v>13.549999999999999</c:v>
                </c:pt>
                <c:pt idx="3">
                  <c:v>11.23</c:v>
                </c:pt>
                <c:pt idx="4">
                  <c:v>7.9699999999999971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7.3800000000000008</c:v>
                </c:pt>
                <c:pt idx="9">
                  <c:v>11.15</c:v>
                </c:pt>
                <c:pt idx="10">
                  <c:v>5.45</c:v>
                </c:pt>
                <c:pt idx="11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9-4305-9960-3D1E4E772EAD}"/>
            </c:ext>
          </c:extLst>
        </c:ser>
        <c:ser>
          <c:idx val="1"/>
          <c:order val="1"/>
          <c:tx>
            <c:strRef>
              <c:f>'Tableau 2 Installation'!$B$31</c:f>
              <c:strCache>
                <c:ptCount val="1"/>
                <c:pt idx="0">
                  <c:v>Décharge boucle solaire (MWh)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'Tableau 2 Installation'!$F$29:$Q$29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2 Installation'!$F$31:$Q$31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5.5399999999999991</c:v>
                </c:pt>
                <c:pt idx="4">
                  <c:v>12.450000000000001</c:v>
                </c:pt>
                <c:pt idx="5">
                  <c:v>13.840000000000002</c:v>
                </c:pt>
                <c:pt idx="6">
                  <c:v>15.620000000000001</c:v>
                </c:pt>
                <c:pt idx="7">
                  <c:v>15.06</c:v>
                </c:pt>
                <c:pt idx="8">
                  <c:v>9.1800000000000015</c:v>
                </c:pt>
                <c:pt idx="9">
                  <c:v>0.61999999999999922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9-4305-9960-3D1E4E772EAD}"/>
            </c:ext>
          </c:extLst>
        </c:ser>
        <c:ser>
          <c:idx val="2"/>
          <c:order val="2"/>
          <c:tx>
            <c:strRef>
              <c:f>'Tableau 2 Installation'!$B$32</c:f>
              <c:strCache>
                <c:ptCount val="1"/>
                <c:pt idx="0">
                  <c:v>Pertes boucle solaire (stockage, distribution) (MWh)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'Tableau 2 Installation'!$F$29:$Q$29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2 Installation'!$F$32:$Q$32</c:f>
              <c:numCache>
                <c:formatCode>0.0</c:formatCode>
                <c:ptCount val="12"/>
                <c:pt idx="0">
                  <c:v>2.68</c:v>
                </c:pt>
                <c:pt idx="1">
                  <c:v>2.38</c:v>
                </c:pt>
                <c:pt idx="2">
                  <c:v>2.4700000000000002</c:v>
                </c:pt>
                <c:pt idx="3">
                  <c:v>1.91</c:v>
                </c:pt>
                <c:pt idx="4">
                  <c:v>1.44</c:v>
                </c:pt>
                <c:pt idx="5">
                  <c:v>1.25</c:v>
                </c:pt>
                <c:pt idx="6">
                  <c:v>1.36</c:v>
                </c:pt>
                <c:pt idx="7">
                  <c:v>1.19</c:v>
                </c:pt>
                <c:pt idx="8">
                  <c:v>1.67</c:v>
                </c:pt>
                <c:pt idx="9">
                  <c:v>1.92</c:v>
                </c:pt>
                <c:pt idx="10">
                  <c:v>2.34</c:v>
                </c:pt>
                <c:pt idx="11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9-4305-9960-3D1E4E77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2616024"/>
        <c:axId val="462610448"/>
      </c:barChart>
      <c:lineChart>
        <c:grouping val="standard"/>
        <c:varyColors val="0"/>
        <c:ser>
          <c:idx val="3"/>
          <c:order val="3"/>
          <c:tx>
            <c:strRef>
              <c:f>'Tableau 2 Installation'!$B$33</c:f>
              <c:strCache>
                <c:ptCount val="1"/>
                <c:pt idx="0">
                  <c:v>Production solaire brute sortie capteurs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strRef>
              <c:f>'Tableau 2 Installation'!$F$29:$Q$29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2 Installation'!$F$33:$Q$33</c:f>
              <c:numCache>
                <c:formatCode>0.0</c:formatCode>
                <c:ptCount val="12"/>
                <c:pt idx="0">
                  <c:v>7.29</c:v>
                </c:pt>
                <c:pt idx="1">
                  <c:v>10.27</c:v>
                </c:pt>
                <c:pt idx="2">
                  <c:v>16.02</c:v>
                </c:pt>
                <c:pt idx="3">
                  <c:v>18.68</c:v>
                </c:pt>
                <c:pt idx="4">
                  <c:v>21.86</c:v>
                </c:pt>
                <c:pt idx="5">
                  <c:v>21.85</c:v>
                </c:pt>
                <c:pt idx="6">
                  <c:v>23.87</c:v>
                </c:pt>
                <c:pt idx="7">
                  <c:v>22.51</c:v>
                </c:pt>
                <c:pt idx="8">
                  <c:v>18.23</c:v>
                </c:pt>
                <c:pt idx="9">
                  <c:v>13.69</c:v>
                </c:pt>
                <c:pt idx="10">
                  <c:v>7.79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9-4305-9960-3D1E4E772EAD}"/>
            </c:ext>
          </c:extLst>
        </c:ser>
        <c:ser>
          <c:idx val="4"/>
          <c:order val="4"/>
          <c:tx>
            <c:strRef>
              <c:f>'Tableau 2 Installation'!$B$34</c:f>
              <c:strCache>
                <c:ptCount val="1"/>
                <c:pt idx="0">
                  <c:v>Consommation d'eau chaude (MWh)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'Tableau 2 Installation'!$F$29:$Q$29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'Tableau 2 Installation'!$F$34:$Q$34</c:f>
              <c:numCache>
                <c:formatCode>0.0</c:formatCode>
                <c:ptCount val="12"/>
                <c:pt idx="0">
                  <c:v>29.55</c:v>
                </c:pt>
                <c:pt idx="1">
                  <c:v>21.24</c:v>
                </c:pt>
                <c:pt idx="2">
                  <c:v>14.85</c:v>
                </c:pt>
                <c:pt idx="3">
                  <c:v>11.23</c:v>
                </c:pt>
                <c:pt idx="4">
                  <c:v>7.9699999999999989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</c:v>
                </c:pt>
                <c:pt idx="9">
                  <c:v>11.15</c:v>
                </c:pt>
                <c:pt idx="10">
                  <c:v>20.74</c:v>
                </c:pt>
                <c:pt idx="11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9-4305-9960-3D1E4E77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10824"/>
        <c:axId val="462606840"/>
      </c:lineChart>
      <c:catAx>
        <c:axId val="46261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10448"/>
        <c:crosses val="autoZero"/>
        <c:auto val="1"/>
        <c:lblAlgn val="ctr"/>
        <c:lblOffset val="100"/>
        <c:noMultiLvlLbl val="0"/>
      </c:catAx>
      <c:valAx>
        <c:axId val="46261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Production solaire utile, Décharge boucle solaire et Pertes boucle solaire (stockage, distribution) (MWh)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16024"/>
        <c:crosses val="autoZero"/>
        <c:crossBetween val="between"/>
      </c:valAx>
      <c:valAx>
        <c:axId val="462606840"/>
        <c:scaling>
          <c:orientation val="minMax"/>
          <c:max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rgbClr val="FF0000"/>
                    </a:solidFill>
                  </a:rPr>
                  <a:t>Production solaire brute sortie capteurs et Consommation d'eau chaude (MWh)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010824"/>
        <c:crosses val="max"/>
        <c:crossBetween val="between"/>
      </c:valAx>
      <c:catAx>
        <c:axId val="54601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60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C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16001173945323019"/>
          <c:y val="7.0423611111111117E-2"/>
          <c:w val="0.44743942044237939"/>
          <c:h val="0.1605208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145521</xdr:colOff>
      <xdr:row>16</xdr:row>
      <xdr:rowOff>50800</xdr:rowOff>
    </xdr:from>
    <xdr:ext cx="5439480" cy="5270148"/>
    <xdr:pic>
      <xdr:nvPicPr>
        <xdr:cNvPr id="2" name="Image 1" descr="Comprendre les zones climatiques de la RT 2012 | Isonat">
          <a:extLst>
            <a:ext uri="{FF2B5EF4-FFF2-40B4-BE49-F238E27FC236}">
              <a16:creationId xmlns:a16="http://schemas.microsoft.com/office/drawing/2014/main" id="{CBCC55F6-89D9-455A-B851-BC6A5165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4696" y="3101975"/>
          <a:ext cx="5439480" cy="5270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171450</xdr:colOff>
      <xdr:row>2</xdr:row>
      <xdr:rowOff>38100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2</xdr:col>
      <xdr:colOff>819150</xdr:colOff>
      <xdr:row>1</xdr:row>
      <xdr:rowOff>38100</xdr:rowOff>
    </xdr:to>
    <xdr:pic>
      <xdr:nvPicPr>
        <xdr:cNvPr id="1560" name="Picture 3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7810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2219325</xdr:colOff>
      <xdr:row>0</xdr:row>
      <xdr:rowOff>0</xdr:rowOff>
    </xdr:from>
    <xdr:ext cx="0" cy="60007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0</xdr:row>
      <xdr:rowOff>0</xdr:rowOff>
    </xdr:from>
    <xdr:ext cx="0" cy="285750"/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2219325</xdr:colOff>
      <xdr:row>3</xdr:row>
      <xdr:rowOff>57150</xdr:rowOff>
    </xdr:from>
    <xdr:ext cx="0" cy="600075"/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838200</xdr:colOff>
      <xdr:row>4</xdr:row>
      <xdr:rowOff>123825</xdr:rowOff>
    </xdr:from>
    <xdr:ext cx="0" cy="285750"/>
    <xdr:pic>
      <xdr:nvPicPr>
        <xdr:cNvPr id="18" name="Picture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590550</xdr:colOff>
      <xdr:row>0</xdr:row>
      <xdr:rowOff>0</xdr:rowOff>
    </xdr:from>
    <xdr:to>
      <xdr:col>6</xdr:col>
      <xdr:colOff>1476375</xdr:colOff>
      <xdr:row>4</xdr:row>
      <xdr:rowOff>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707"/>
        <a:stretch/>
      </xdr:blipFill>
      <xdr:spPr bwMode="auto">
        <a:xfrm>
          <a:off x="590550" y="0"/>
          <a:ext cx="631507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48</xdr:row>
      <xdr:rowOff>35718</xdr:rowOff>
    </xdr:from>
    <xdr:to>
      <xdr:col>6</xdr:col>
      <xdr:colOff>527682</xdr:colOff>
      <xdr:row>67</xdr:row>
      <xdr:rowOff>16218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19</xdr:col>
      <xdr:colOff>37855</xdr:colOff>
      <xdr:row>71</xdr:row>
      <xdr:rowOff>36722</xdr:rowOff>
    </xdr:from>
    <xdr:ext cx="3050538" cy="2930938"/>
    <xdr:pic>
      <xdr:nvPicPr>
        <xdr:cNvPr id="3" name="Image 2" descr="Comprendre les zones climatiques de la RT 2012 | Isonat">
          <a:extLst>
            <a:ext uri="{FF2B5EF4-FFF2-40B4-BE49-F238E27FC236}">
              <a16:creationId xmlns:a16="http://schemas.microsoft.com/office/drawing/2014/main" id="{06A09711-C939-4EC8-A353-4371120E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155" y="15467222"/>
          <a:ext cx="3050538" cy="2930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23380</xdr:colOff>
      <xdr:row>36</xdr:row>
      <xdr:rowOff>24246</xdr:rowOff>
    </xdr:from>
    <xdr:to>
      <xdr:col>10</xdr:col>
      <xdr:colOff>782973</xdr:colOff>
      <xdr:row>55</xdr:row>
      <xdr:rowOff>4746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eme.fr/Users/thouins/Desktop/BUREAU/Tableur/Tableur_biomasse_fc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ueil"/>
      <sheetName val="caractéristiques projet"/>
      <sheetName val="Résultats"/>
      <sheetName val="solution biomasse"/>
      <sheetName val="solution de reference"/>
      <sheetName val="grilles FC"/>
      <sheetName val="TEC Production"/>
      <sheetName val="TEC Réseau (2)"/>
      <sheetName val="evolution des couts"/>
      <sheetName val="TEC Réseau"/>
      <sheetName val="Evolution couts"/>
      <sheetName val="Détails sous-stations"/>
      <sheetName val="menu deroulant"/>
      <sheetName val="Feuil1"/>
    </sheetNames>
    <sheetDataSet>
      <sheetData sheetId="0"/>
      <sheetData sheetId="1">
        <row r="9">
          <cell r="D9">
            <v>2</v>
          </cell>
        </row>
        <row r="10">
          <cell r="D10">
            <v>1</v>
          </cell>
        </row>
        <row r="12">
          <cell r="D12">
            <v>40000</v>
          </cell>
        </row>
        <row r="17">
          <cell r="D17">
            <v>8000</v>
          </cell>
        </row>
        <row r="18">
          <cell r="D18">
            <v>35000</v>
          </cell>
        </row>
        <row r="22">
          <cell r="D22">
            <v>24</v>
          </cell>
        </row>
        <row r="26">
          <cell r="D26">
            <v>15000</v>
          </cell>
        </row>
        <row r="27">
          <cell r="D27">
            <v>7000</v>
          </cell>
        </row>
        <row r="34">
          <cell r="D34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EITZMANN Mickaël" id="{BCA2E7A7-7B66-4B3C-BC57-40CE456DF975}" userId="S::mickael.heitzmann@ademe.fr::bbb02407-6f63-450c-b9e2-14c01c132eb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3-09-22T11:57:16.97" personId="{BCA2E7A7-7B66-4B3C-BC57-40CE456DF975}" id="{C177CCC1-E21E-4AB7-A01B-3289AA499B0C}">
    <text>Sources données: CEREN 2021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73" dT="2023-08-01T13:46:08.79" personId="{BCA2E7A7-7B66-4B3C-BC57-40CE456DF975}" id="{DED02622-DAF7-42A5-A9C4-52F9586CEBF6}">
    <text>Ajout aout 2023</text>
  </threadedComment>
  <threadedComment ref="E73" dT="2023-08-09T12:56:29.95" personId="{BCA2E7A7-7B66-4B3C-BC57-40CE456DF975}" id="{EA98E4B0-B670-4284-80DE-B55DD0BFC522}">
    <text>Rougis si conso au-delà du plafond</text>
  </threadedComment>
  <threadedComment ref="L73" dT="2023-08-01T13:46:32.21" personId="{BCA2E7A7-7B66-4B3C-BC57-40CE456DF975}" id="{8E9FA39F-3FB0-4B36-B282-CBCC03EEFBDB}">
    <text>Seuil d'efficacité énergétique</text>
  </threadedComment>
  <threadedComment ref="M73" dT="2023-08-09T12:35:54.52" personId="{BCA2E7A7-7B66-4B3C-BC57-40CE456DF975}" id="{3499043C-9172-4E2E-BA3E-E55A9AFE9BBA}">
    <text>Signale "Faible efficacité énergétique" ou "vigilance ECS"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A823E-5EFA-44F7-ADEA-65D6268A8616}">
  <sheetPr>
    <tabColor theme="5"/>
  </sheetPr>
  <dimension ref="A2:AY388"/>
  <sheetViews>
    <sheetView zoomScaleNormal="100" workbookViewId="0">
      <selection activeCell="C7" sqref="C7:F7"/>
    </sheetView>
  </sheetViews>
  <sheetFormatPr baseColWidth="10" defaultColWidth="11.42578125" defaultRowHeight="15"/>
  <cols>
    <col min="1" max="1" width="28.5703125" style="179" bestFit="1" customWidth="1"/>
    <col min="2" max="2" width="24.5703125" style="179" customWidth="1"/>
    <col min="3" max="3" width="11.42578125" style="179"/>
    <col min="4" max="4" width="12.140625" style="179" customWidth="1"/>
    <col min="5" max="5" width="13.42578125" style="179" customWidth="1"/>
    <col min="6" max="7" width="11.42578125" style="179"/>
    <col min="8" max="8" width="14.5703125" style="179" bestFit="1" customWidth="1"/>
    <col min="9" max="9" width="11.42578125" style="179"/>
    <col min="10" max="10" width="15.7109375" style="179" customWidth="1"/>
    <col min="11" max="12" width="11.42578125" style="179"/>
    <col min="13" max="14" width="9.140625" style="179" customWidth="1"/>
    <col min="15" max="15" width="11.42578125" style="179"/>
    <col min="16" max="16" width="18" style="179" customWidth="1"/>
    <col min="17" max="17" width="11.42578125" style="179"/>
    <col min="18" max="20" width="10.85546875" style="179" customWidth="1"/>
    <col min="21" max="27" width="11.42578125" style="179"/>
    <col min="28" max="35" width="11.28515625" style="179" bestFit="1" customWidth="1"/>
    <col min="36" max="38" width="11.42578125" style="179"/>
    <col min="39" max="39" width="33.5703125" style="179" customWidth="1"/>
    <col min="40" max="16384" width="11.42578125" style="179"/>
  </cols>
  <sheetData>
    <row r="2" spans="1:51">
      <c r="B2" s="174"/>
      <c r="C2" s="174" t="s">
        <v>0</v>
      </c>
      <c r="D2" s="174" t="s">
        <v>1</v>
      </c>
      <c r="E2" s="174" t="s">
        <v>2</v>
      </c>
      <c r="F2" s="174" t="s">
        <v>3</v>
      </c>
      <c r="G2" s="179" t="s">
        <v>4</v>
      </c>
      <c r="H2" s="179" t="s">
        <v>5</v>
      </c>
      <c r="I2" s="179" t="s">
        <v>6</v>
      </c>
      <c r="J2" s="179" t="s">
        <v>7</v>
      </c>
      <c r="K2" s="179" t="s">
        <v>8</v>
      </c>
      <c r="L2" s="179" t="s">
        <v>9</v>
      </c>
      <c r="M2" s="179" t="s">
        <v>10</v>
      </c>
      <c r="Q2" s="211">
        <v>1</v>
      </c>
    </row>
    <row r="3" spans="1:51">
      <c r="A3" s="208">
        <v>1</v>
      </c>
      <c r="B3" s="208">
        <v>2</v>
      </c>
      <c r="C3" s="208">
        <v>3</v>
      </c>
      <c r="D3" s="208">
        <v>4</v>
      </c>
      <c r="E3" s="208">
        <v>5</v>
      </c>
      <c r="F3" s="208">
        <v>6</v>
      </c>
      <c r="G3" s="208">
        <v>7</v>
      </c>
      <c r="H3" s="208">
        <v>8</v>
      </c>
      <c r="I3" s="208">
        <v>9</v>
      </c>
      <c r="J3" s="208">
        <v>10</v>
      </c>
      <c r="K3" s="208">
        <v>11</v>
      </c>
      <c r="L3" s="208">
        <v>12</v>
      </c>
      <c r="M3" s="208">
        <v>13</v>
      </c>
      <c r="Q3" s="211">
        <v>2</v>
      </c>
      <c r="Y3" s="179" t="s">
        <v>0</v>
      </c>
      <c r="Z3" s="179" t="s">
        <v>8</v>
      </c>
      <c r="AA3" s="178" t="s">
        <v>11</v>
      </c>
    </row>
    <row r="4" spans="1:51" ht="24">
      <c r="A4" s="180" t="s">
        <v>12</v>
      </c>
      <c r="B4" s="180" t="s">
        <v>13</v>
      </c>
      <c r="C4" s="192" t="s">
        <v>0</v>
      </c>
      <c r="D4" s="192" t="s">
        <v>1</v>
      </c>
      <c r="E4" s="192" t="s">
        <v>2</v>
      </c>
      <c r="F4" s="192" t="s">
        <v>3</v>
      </c>
      <c r="G4" s="192" t="s">
        <v>4</v>
      </c>
      <c r="H4" s="192" t="s">
        <v>5</v>
      </c>
      <c r="I4" s="192" t="s">
        <v>6</v>
      </c>
      <c r="J4" s="192" t="s">
        <v>7</v>
      </c>
      <c r="K4" s="192" t="s">
        <v>14</v>
      </c>
      <c r="L4" s="192" t="s">
        <v>15</v>
      </c>
      <c r="M4" s="192" t="s">
        <v>16</v>
      </c>
      <c r="Q4" s="211"/>
      <c r="Y4" s="179" t="s">
        <v>1</v>
      </c>
      <c r="Z4" s="179" t="s">
        <v>9</v>
      </c>
      <c r="AA4" s="163" t="s">
        <v>17</v>
      </c>
      <c r="AN4" s="179" t="s">
        <v>18</v>
      </c>
    </row>
    <row r="5" spans="1:51" ht="22.5">
      <c r="A5" s="193" t="s">
        <v>11</v>
      </c>
      <c r="B5" s="196">
        <v>85</v>
      </c>
      <c r="C5" s="197">
        <v>1.2</v>
      </c>
      <c r="D5" s="197">
        <v>1.3</v>
      </c>
      <c r="E5" s="197">
        <v>1.2</v>
      </c>
      <c r="F5" s="197">
        <v>1.1000000000000001</v>
      </c>
      <c r="G5" s="197">
        <v>1</v>
      </c>
      <c r="H5" s="197">
        <v>1</v>
      </c>
      <c r="I5" s="197">
        <v>0.9</v>
      </c>
      <c r="J5" s="197">
        <v>0.7</v>
      </c>
      <c r="K5" s="197">
        <v>0</v>
      </c>
      <c r="L5" s="197">
        <v>0.1</v>
      </c>
      <c r="M5" s="197">
        <v>0.2</v>
      </c>
      <c r="N5" s="199" t="s">
        <v>19</v>
      </c>
      <c r="Q5" s="211">
        <v>1</v>
      </c>
      <c r="S5" s="182"/>
      <c r="T5" s="182"/>
      <c r="Y5" s="179" t="s">
        <v>2</v>
      </c>
      <c r="Z5" s="179" t="s">
        <v>10</v>
      </c>
      <c r="AA5" s="176" t="s">
        <v>20</v>
      </c>
      <c r="AN5" s="183" t="s">
        <v>21</v>
      </c>
    </row>
    <row r="6" spans="1:51" ht="14.45" customHeight="1">
      <c r="A6" s="194" t="s">
        <v>17</v>
      </c>
      <c r="B6" s="196">
        <v>85</v>
      </c>
      <c r="C6" s="197">
        <v>1.2</v>
      </c>
      <c r="D6" s="197">
        <v>1.3</v>
      </c>
      <c r="E6" s="197">
        <v>1.2</v>
      </c>
      <c r="F6" s="197">
        <v>1.1000000000000001</v>
      </c>
      <c r="G6" s="197">
        <v>1</v>
      </c>
      <c r="H6" s="197">
        <v>1</v>
      </c>
      <c r="I6" s="197">
        <v>0.9</v>
      </c>
      <c r="J6" s="197">
        <v>0.7</v>
      </c>
      <c r="K6" s="197">
        <v>0</v>
      </c>
      <c r="L6" s="197">
        <v>0.1</v>
      </c>
      <c r="M6" s="197">
        <v>0.2</v>
      </c>
      <c r="N6" s="199" t="s">
        <v>19</v>
      </c>
      <c r="Q6" s="211">
        <v>2</v>
      </c>
      <c r="S6" s="182"/>
      <c r="T6" s="182"/>
      <c r="Y6" s="179" t="s">
        <v>3</v>
      </c>
      <c r="AA6" s="176" t="s">
        <v>22</v>
      </c>
      <c r="AN6" s="239" t="s">
        <v>0</v>
      </c>
      <c r="AO6" s="241" t="s">
        <v>1</v>
      </c>
      <c r="AP6" s="241" t="s">
        <v>2</v>
      </c>
      <c r="AQ6" s="241" t="s">
        <v>3</v>
      </c>
      <c r="AR6" s="241" t="s">
        <v>4</v>
      </c>
      <c r="AS6" s="241" t="s">
        <v>5</v>
      </c>
      <c r="AT6" s="241" t="s">
        <v>6</v>
      </c>
      <c r="AU6" s="243" t="s">
        <v>7</v>
      </c>
    </row>
    <row r="7" spans="1:51" ht="22.5">
      <c r="A7" s="195" t="s">
        <v>20</v>
      </c>
      <c r="B7" s="196">
        <v>95</v>
      </c>
      <c r="C7" s="197">
        <v>1.1000000000000001</v>
      </c>
      <c r="D7" s="197">
        <v>1.3</v>
      </c>
      <c r="E7" s="197">
        <v>1.2</v>
      </c>
      <c r="F7" s="197">
        <v>1.1000000000000001</v>
      </c>
      <c r="G7" s="197">
        <v>1</v>
      </c>
      <c r="H7" s="197">
        <v>1</v>
      </c>
      <c r="I7" s="197">
        <v>0.9</v>
      </c>
      <c r="J7" s="197">
        <v>0.8</v>
      </c>
      <c r="K7" s="197">
        <v>0</v>
      </c>
      <c r="L7" s="197">
        <v>0.3</v>
      </c>
      <c r="M7" s="197">
        <v>0.5</v>
      </c>
      <c r="N7" s="199" t="s">
        <v>23</v>
      </c>
      <c r="Q7" s="211">
        <v>3</v>
      </c>
      <c r="T7" s="182"/>
      <c r="Y7" s="179" t="s">
        <v>4</v>
      </c>
      <c r="AA7" s="176" t="s">
        <v>24</v>
      </c>
      <c r="AN7" s="240"/>
      <c r="AO7" s="242"/>
      <c r="AP7" s="242"/>
      <c r="AQ7" s="242"/>
      <c r="AR7" s="242"/>
      <c r="AS7" s="242"/>
      <c r="AT7" s="242"/>
      <c r="AU7" s="244"/>
      <c r="AV7" s="177" t="s">
        <v>14</v>
      </c>
      <c r="AW7" s="177" t="s">
        <v>15</v>
      </c>
      <c r="AX7" s="245" t="s">
        <v>16</v>
      </c>
      <c r="AY7" s="246"/>
    </row>
    <row r="8" spans="1:51" ht="22.5">
      <c r="A8" s="195" t="s">
        <v>22</v>
      </c>
      <c r="B8" s="196">
        <v>74</v>
      </c>
      <c r="C8" s="197">
        <v>1</v>
      </c>
      <c r="D8" s="197">
        <v>1.1000000000000001</v>
      </c>
      <c r="E8" s="197">
        <v>1</v>
      </c>
      <c r="F8" s="197">
        <v>1</v>
      </c>
      <c r="G8" s="197">
        <v>1</v>
      </c>
      <c r="H8" s="197">
        <v>0.9</v>
      </c>
      <c r="I8" s="197">
        <v>0.9</v>
      </c>
      <c r="J8" s="197">
        <v>0.9</v>
      </c>
      <c r="K8" s="197">
        <v>0</v>
      </c>
      <c r="L8" s="197">
        <v>0.1</v>
      </c>
      <c r="M8" s="197">
        <v>0.2</v>
      </c>
      <c r="N8" s="199" t="s">
        <v>25</v>
      </c>
      <c r="Q8" s="211">
        <v>4</v>
      </c>
      <c r="T8" s="182"/>
      <c r="Y8" s="179" t="s">
        <v>5</v>
      </c>
      <c r="AA8" s="176" t="s">
        <v>26</v>
      </c>
      <c r="AM8" s="184"/>
      <c r="AN8" s="234">
        <v>1.1000000000000001</v>
      </c>
      <c r="AO8" s="231">
        <v>1.3</v>
      </c>
      <c r="AP8" s="231">
        <v>1.2</v>
      </c>
      <c r="AQ8" s="231">
        <v>1.1000000000000001</v>
      </c>
      <c r="AR8" s="231">
        <v>1</v>
      </c>
      <c r="AS8" s="231">
        <v>1</v>
      </c>
      <c r="AT8" s="231">
        <v>0.9</v>
      </c>
      <c r="AU8" s="228">
        <v>0.8</v>
      </c>
      <c r="AV8" s="234">
        <v>0</v>
      </c>
      <c r="AW8" s="231">
        <v>0.3</v>
      </c>
      <c r="AX8" s="228">
        <v>0.5</v>
      </c>
    </row>
    <row r="9" spans="1:51" ht="22.5">
      <c r="A9" s="195" t="s">
        <v>24</v>
      </c>
      <c r="B9" s="196">
        <v>81</v>
      </c>
      <c r="C9" s="197">
        <v>1.1000000000000001</v>
      </c>
      <c r="D9" s="197">
        <v>1.3</v>
      </c>
      <c r="E9" s="197">
        <v>1.2</v>
      </c>
      <c r="F9" s="197">
        <v>1.1000000000000001</v>
      </c>
      <c r="G9" s="197">
        <v>1</v>
      </c>
      <c r="H9" s="197">
        <v>1</v>
      </c>
      <c r="I9" s="197">
        <v>0.9</v>
      </c>
      <c r="J9" s="197">
        <v>0.8</v>
      </c>
      <c r="K9" s="197">
        <v>0</v>
      </c>
      <c r="L9" s="197">
        <v>0.3</v>
      </c>
      <c r="M9" s="197">
        <v>0.5</v>
      </c>
      <c r="N9" s="199" t="s">
        <v>25</v>
      </c>
      <c r="Q9" s="211">
        <v>5</v>
      </c>
      <c r="T9" s="182"/>
      <c r="Y9" s="179" t="s">
        <v>6</v>
      </c>
      <c r="AA9" s="176" t="s">
        <v>27</v>
      </c>
      <c r="AM9" s="185" t="s">
        <v>28</v>
      </c>
      <c r="AN9" s="236"/>
      <c r="AO9" s="233"/>
      <c r="AP9" s="233"/>
      <c r="AQ9" s="233"/>
      <c r="AR9" s="233"/>
      <c r="AS9" s="233"/>
      <c r="AT9" s="233"/>
      <c r="AU9" s="230"/>
      <c r="AV9" s="236"/>
      <c r="AW9" s="233"/>
      <c r="AX9" s="230"/>
    </row>
    <row r="10" spans="1:51" ht="22.5">
      <c r="A10" s="195" t="s">
        <v>26</v>
      </c>
      <c r="B10" s="196">
        <v>88</v>
      </c>
      <c r="C10" s="197">
        <v>1.2</v>
      </c>
      <c r="D10" s="197">
        <v>1.3</v>
      </c>
      <c r="E10" s="197">
        <v>1.2</v>
      </c>
      <c r="F10" s="197">
        <v>1.1000000000000001</v>
      </c>
      <c r="G10" s="197">
        <v>1</v>
      </c>
      <c r="H10" s="197">
        <v>1</v>
      </c>
      <c r="I10" s="197">
        <v>0.9</v>
      </c>
      <c r="J10" s="197">
        <v>0.7</v>
      </c>
      <c r="K10" s="197">
        <v>0</v>
      </c>
      <c r="L10" s="197">
        <v>0.1</v>
      </c>
      <c r="M10" s="197">
        <v>0.2</v>
      </c>
      <c r="N10" s="199" t="s">
        <v>25</v>
      </c>
      <c r="Q10" s="211">
        <v>6</v>
      </c>
      <c r="T10" s="182"/>
      <c r="Y10" s="179" t="s">
        <v>7</v>
      </c>
      <c r="AA10" s="176" t="s">
        <v>29</v>
      </c>
      <c r="AM10" s="185" t="s">
        <v>30</v>
      </c>
      <c r="AN10" s="234">
        <v>0.9</v>
      </c>
      <c r="AO10" s="231">
        <v>1.1000000000000001</v>
      </c>
      <c r="AP10" s="231">
        <v>1.1000000000000001</v>
      </c>
      <c r="AQ10" s="231">
        <v>0.9</v>
      </c>
      <c r="AR10" s="231">
        <v>1</v>
      </c>
      <c r="AS10" s="231">
        <v>1</v>
      </c>
      <c r="AT10" s="231">
        <v>1.2</v>
      </c>
      <c r="AU10" s="228">
        <v>1.2</v>
      </c>
      <c r="AV10" s="234">
        <v>0</v>
      </c>
      <c r="AW10" s="231">
        <v>0</v>
      </c>
      <c r="AX10" s="228">
        <v>0.1</v>
      </c>
    </row>
    <row r="11" spans="1:51" ht="22.5">
      <c r="A11" s="195" t="s">
        <v>27</v>
      </c>
      <c r="B11" s="196">
        <v>97</v>
      </c>
      <c r="C11" s="197">
        <v>1.1000000000000001</v>
      </c>
      <c r="D11" s="197">
        <v>1.3</v>
      </c>
      <c r="E11" s="197">
        <v>1.2</v>
      </c>
      <c r="F11" s="197">
        <v>1.1000000000000001</v>
      </c>
      <c r="G11" s="197">
        <v>1</v>
      </c>
      <c r="H11" s="197">
        <v>1</v>
      </c>
      <c r="I11" s="197">
        <v>0.9</v>
      </c>
      <c r="J11" s="197">
        <v>0.8</v>
      </c>
      <c r="K11" s="197">
        <v>0</v>
      </c>
      <c r="L11" s="197">
        <v>0.3</v>
      </c>
      <c r="M11" s="197">
        <v>0.5</v>
      </c>
      <c r="N11" s="199" t="s">
        <v>25</v>
      </c>
      <c r="Q11" s="211">
        <v>7</v>
      </c>
      <c r="T11" s="182"/>
      <c r="AA11" s="176" t="s">
        <v>31</v>
      </c>
      <c r="AN11" s="236"/>
      <c r="AO11" s="233"/>
      <c r="AP11" s="233"/>
      <c r="AQ11" s="233"/>
      <c r="AR11" s="233"/>
      <c r="AS11" s="233"/>
      <c r="AT11" s="233"/>
      <c r="AU11" s="230"/>
      <c r="AV11" s="236"/>
      <c r="AW11" s="233"/>
      <c r="AX11" s="230"/>
    </row>
    <row r="12" spans="1:51" ht="30">
      <c r="A12" s="195" t="s">
        <v>29</v>
      </c>
      <c r="B12" s="196">
        <v>100</v>
      </c>
      <c r="C12" s="197">
        <v>1.1000000000000001</v>
      </c>
      <c r="D12" s="197">
        <v>1.2</v>
      </c>
      <c r="E12" s="197">
        <v>1.1000000000000001</v>
      </c>
      <c r="F12" s="197">
        <v>1.1000000000000001</v>
      </c>
      <c r="G12" s="197">
        <v>1</v>
      </c>
      <c r="H12" s="197">
        <v>1</v>
      </c>
      <c r="I12" s="197">
        <v>1</v>
      </c>
      <c r="J12" s="197">
        <v>0.9</v>
      </c>
      <c r="K12" s="197">
        <v>0</v>
      </c>
      <c r="L12" s="197">
        <v>0.1</v>
      </c>
      <c r="M12" s="197">
        <v>0.3</v>
      </c>
      <c r="N12" s="199" t="s">
        <v>25</v>
      </c>
      <c r="Q12" s="211">
        <v>8</v>
      </c>
      <c r="T12" s="182"/>
      <c r="AA12" s="176" t="s">
        <v>32</v>
      </c>
      <c r="AM12" s="184" t="s">
        <v>33</v>
      </c>
      <c r="AN12" s="234">
        <v>1.1000000000000001</v>
      </c>
      <c r="AO12" s="231">
        <v>1.3</v>
      </c>
      <c r="AP12" s="231">
        <v>1.1000000000000001</v>
      </c>
      <c r="AQ12" s="231">
        <v>1.1000000000000001</v>
      </c>
      <c r="AR12" s="231">
        <v>1</v>
      </c>
      <c r="AS12" s="231">
        <v>1</v>
      </c>
      <c r="AT12" s="231">
        <v>0.9</v>
      </c>
      <c r="AU12" s="228">
        <v>0.8</v>
      </c>
      <c r="AV12" s="234">
        <v>0</v>
      </c>
      <c r="AW12" s="231">
        <v>0.1</v>
      </c>
      <c r="AX12" s="228">
        <v>0.2</v>
      </c>
    </row>
    <row r="13" spans="1:51">
      <c r="A13" s="195" t="s">
        <v>31</v>
      </c>
      <c r="B13" s="196">
        <f t="shared" ref="B13:M13" si="0">MIN(B7:B12)</f>
        <v>74</v>
      </c>
      <c r="C13" s="197">
        <f t="shared" si="0"/>
        <v>1</v>
      </c>
      <c r="D13" s="197">
        <f t="shared" si="0"/>
        <v>1.1000000000000001</v>
      </c>
      <c r="E13" s="197">
        <f t="shared" si="0"/>
        <v>1</v>
      </c>
      <c r="F13" s="197">
        <f t="shared" si="0"/>
        <v>1</v>
      </c>
      <c r="G13" s="197">
        <f t="shared" si="0"/>
        <v>1</v>
      </c>
      <c r="H13" s="197">
        <f t="shared" si="0"/>
        <v>0.9</v>
      </c>
      <c r="I13" s="197">
        <f t="shared" si="0"/>
        <v>0.9</v>
      </c>
      <c r="J13" s="197">
        <f t="shared" si="0"/>
        <v>0.7</v>
      </c>
      <c r="K13" s="197">
        <f t="shared" si="0"/>
        <v>0</v>
      </c>
      <c r="L13" s="197">
        <f t="shared" si="0"/>
        <v>0.1</v>
      </c>
      <c r="M13" s="197">
        <f t="shared" si="0"/>
        <v>0.2</v>
      </c>
      <c r="N13" s="199" t="s">
        <v>34</v>
      </c>
      <c r="Q13" s="211">
        <v>9</v>
      </c>
      <c r="T13" s="182"/>
      <c r="AA13" s="176" t="s">
        <v>35</v>
      </c>
      <c r="AN13" s="236"/>
      <c r="AO13" s="233"/>
      <c r="AP13" s="233"/>
      <c r="AQ13" s="233"/>
      <c r="AR13" s="233"/>
      <c r="AS13" s="233"/>
      <c r="AT13" s="233"/>
      <c r="AU13" s="230"/>
      <c r="AV13" s="236"/>
      <c r="AW13" s="233"/>
      <c r="AX13" s="230"/>
    </row>
    <row r="14" spans="1:51" ht="14.45" customHeight="1">
      <c r="A14" s="195" t="s">
        <v>36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9"/>
      <c r="Q14" s="211">
        <v>10</v>
      </c>
      <c r="AM14" s="184" t="s">
        <v>37</v>
      </c>
      <c r="AN14" s="234">
        <v>1</v>
      </c>
      <c r="AO14" s="231">
        <v>1.2</v>
      </c>
      <c r="AP14" s="231">
        <v>1.2</v>
      </c>
      <c r="AQ14" s="231">
        <v>1</v>
      </c>
      <c r="AR14" s="231">
        <v>1</v>
      </c>
      <c r="AS14" s="231">
        <v>1</v>
      </c>
      <c r="AT14" s="231">
        <v>1.2</v>
      </c>
      <c r="AU14" s="228">
        <v>1</v>
      </c>
      <c r="AV14" s="234">
        <v>0</v>
      </c>
      <c r="AW14" s="231">
        <v>0.1</v>
      </c>
      <c r="AX14" s="228">
        <v>0.2</v>
      </c>
    </row>
    <row r="15" spans="1:51">
      <c r="A15" s="195" t="s">
        <v>38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9"/>
      <c r="Q15" s="211">
        <v>11</v>
      </c>
      <c r="AM15" s="184"/>
      <c r="AN15" s="236"/>
      <c r="AO15" s="233"/>
      <c r="AP15" s="233"/>
      <c r="AQ15" s="233"/>
      <c r="AR15" s="233"/>
      <c r="AS15" s="233"/>
      <c r="AT15" s="233"/>
      <c r="AU15" s="230"/>
      <c r="AV15" s="236"/>
      <c r="AW15" s="233"/>
      <c r="AX15" s="230"/>
    </row>
    <row r="16" spans="1:51">
      <c r="A16" s="195" t="s">
        <v>35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9"/>
      <c r="Q16" s="211">
        <v>12</v>
      </c>
      <c r="AM16" s="184" t="s">
        <v>39</v>
      </c>
      <c r="AN16" s="234">
        <v>1.2</v>
      </c>
      <c r="AO16" s="231">
        <v>1.3</v>
      </c>
      <c r="AP16" s="231">
        <v>1.2</v>
      </c>
      <c r="AQ16" s="231">
        <v>1.1000000000000001</v>
      </c>
      <c r="AR16" s="231">
        <v>1</v>
      </c>
      <c r="AS16" s="231">
        <v>1</v>
      </c>
      <c r="AT16" s="231">
        <v>0.9</v>
      </c>
      <c r="AU16" s="228">
        <v>0.7</v>
      </c>
      <c r="AV16" s="234">
        <v>0</v>
      </c>
      <c r="AW16" s="231">
        <v>0.1</v>
      </c>
      <c r="AX16" s="228">
        <v>0.2</v>
      </c>
    </row>
    <row r="17" spans="1:50">
      <c r="A17" s="195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9"/>
      <c r="Q17" s="211">
        <v>13</v>
      </c>
      <c r="AN17" s="236"/>
      <c r="AO17" s="233"/>
      <c r="AP17" s="233"/>
      <c r="AQ17" s="233"/>
      <c r="AR17" s="233"/>
      <c r="AS17" s="233"/>
      <c r="AT17" s="233"/>
      <c r="AU17" s="230"/>
      <c r="AV17" s="236"/>
      <c r="AW17" s="233"/>
      <c r="AX17" s="230"/>
    </row>
    <row r="18" spans="1:50" ht="30">
      <c r="B18" s="198" t="s">
        <v>40</v>
      </c>
      <c r="AM18" s="184" t="s">
        <v>41</v>
      </c>
      <c r="AN18" s="234">
        <v>1.2</v>
      </c>
      <c r="AO18" s="231">
        <v>1.3</v>
      </c>
      <c r="AP18" s="231">
        <v>1.2</v>
      </c>
      <c r="AQ18" s="231">
        <v>1.1000000000000001</v>
      </c>
      <c r="AR18" s="231">
        <v>1</v>
      </c>
      <c r="AS18" s="231">
        <v>1</v>
      </c>
      <c r="AT18" s="231">
        <v>1.1000000000000001</v>
      </c>
      <c r="AU18" s="228">
        <v>0.9</v>
      </c>
      <c r="AV18" s="234">
        <v>0</v>
      </c>
      <c r="AW18" s="231">
        <v>0.1</v>
      </c>
      <c r="AX18" s="228">
        <v>0.2</v>
      </c>
    </row>
    <row r="19" spans="1:50">
      <c r="AM19" s="184"/>
      <c r="AN19" s="235"/>
      <c r="AO19" s="232"/>
      <c r="AP19" s="232"/>
      <c r="AQ19" s="232"/>
      <c r="AR19" s="232"/>
      <c r="AS19" s="232"/>
      <c r="AT19" s="232"/>
      <c r="AU19" s="229"/>
      <c r="AV19" s="235"/>
      <c r="AW19" s="232"/>
      <c r="AX19" s="229"/>
    </row>
    <row r="20" spans="1:50">
      <c r="F20" s="187">
        <f>B7*1.7</f>
        <v>161.5</v>
      </c>
      <c r="AM20" s="184"/>
      <c r="AN20" s="235"/>
      <c r="AO20" s="232"/>
      <c r="AP20" s="232"/>
      <c r="AQ20" s="232"/>
      <c r="AR20" s="232"/>
      <c r="AS20" s="232"/>
      <c r="AT20" s="232"/>
      <c r="AU20" s="229"/>
      <c r="AV20" s="235"/>
      <c r="AW20" s="232"/>
      <c r="AX20" s="229"/>
    </row>
    <row r="21" spans="1:50">
      <c r="AM21" s="184"/>
      <c r="AN21" s="235"/>
      <c r="AO21" s="232"/>
      <c r="AP21" s="232"/>
      <c r="AQ21" s="232"/>
      <c r="AR21" s="232"/>
      <c r="AS21" s="232"/>
      <c r="AT21" s="232"/>
      <c r="AU21" s="229"/>
      <c r="AV21" s="235"/>
      <c r="AW21" s="232"/>
      <c r="AX21" s="229"/>
    </row>
    <row r="22" spans="1:50">
      <c r="AM22" s="184"/>
      <c r="AN22" s="235"/>
      <c r="AO22" s="232"/>
      <c r="AP22" s="232"/>
      <c r="AQ22" s="232"/>
      <c r="AR22" s="232"/>
      <c r="AS22" s="232"/>
      <c r="AT22" s="232"/>
      <c r="AU22" s="229"/>
      <c r="AV22" s="235"/>
      <c r="AW22" s="232"/>
      <c r="AX22" s="229"/>
    </row>
    <row r="23" spans="1:50">
      <c r="A23" s="174"/>
      <c r="B23" s="174"/>
      <c r="C23" s="174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AN23" s="236"/>
      <c r="AO23" s="233"/>
      <c r="AP23" s="233"/>
      <c r="AQ23" s="233"/>
      <c r="AR23" s="233"/>
      <c r="AS23" s="233"/>
      <c r="AT23" s="233"/>
      <c r="AU23" s="230"/>
      <c r="AV23" s="236"/>
      <c r="AW23" s="233"/>
      <c r="AX23" s="230"/>
    </row>
    <row r="24" spans="1:50" ht="45">
      <c r="A24" s="174"/>
      <c r="D24" s="163" t="s">
        <v>42</v>
      </c>
      <c r="E24" s="163" t="s">
        <v>43</v>
      </c>
      <c r="F24" s="163" t="s">
        <v>44</v>
      </c>
      <c r="G24" s="174"/>
      <c r="H24" s="238"/>
      <c r="I24" s="238"/>
      <c r="J24" s="238"/>
      <c r="K24" s="238"/>
      <c r="O24" s="197" t="s">
        <v>45</v>
      </c>
      <c r="P24" s="200" t="s">
        <v>46</v>
      </c>
      <c r="Q24" s="199" t="s">
        <v>47</v>
      </c>
      <c r="AM24" s="184" t="s">
        <v>48</v>
      </c>
      <c r="AN24" s="234">
        <v>1.2</v>
      </c>
      <c r="AO24" s="231">
        <v>1.3</v>
      </c>
      <c r="AP24" s="231">
        <v>1.2</v>
      </c>
      <c r="AQ24" s="231">
        <v>1.1000000000000001</v>
      </c>
      <c r="AR24" s="231">
        <v>1</v>
      </c>
      <c r="AS24" s="231">
        <v>1</v>
      </c>
      <c r="AT24" s="231">
        <v>0.9</v>
      </c>
      <c r="AU24" s="228">
        <v>0.7</v>
      </c>
      <c r="AV24" s="234">
        <v>0</v>
      </c>
      <c r="AW24" s="231">
        <v>0.1</v>
      </c>
      <c r="AX24" s="228">
        <v>0.2</v>
      </c>
    </row>
    <row r="25" spans="1:50">
      <c r="A25" s="174"/>
      <c r="D25" s="163" t="s">
        <v>49</v>
      </c>
      <c r="E25" s="175">
        <f>B5*J5</f>
        <v>59.499999999999993</v>
      </c>
      <c r="F25" s="175">
        <f>B5*(D5+M5)</f>
        <v>127.5</v>
      </c>
      <c r="G25" s="174"/>
      <c r="H25" s="188"/>
      <c r="I25" s="188"/>
      <c r="J25" s="188"/>
      <c r="K25" s="188"/>
      <c r="L25" s="206" t="s">
        <v>50</v>
      </c>
      <c r="M25" s="201"/>
      <c r="N25" s="201"/>
      <c r="O25" s="201"/>
      <c r="P25" s="202"/>
      <c r="Q25" s="199"/>
      <c r="AN25" s="236"/>
      <c r="AO25" s="233"/>
      <c r="AP25" s="233"/>
      <c r="AQ25" s="233"/>
      <c r="AR25" s="233"/>
      <c r="AS25" s="233"/>
      <c r="AT25" s="233"/>
      <c r="AU25" s="230"/>
      <c r="AV25" s="236"/>
      <c r="AW25" s="233"/>
      <c r="AX25" s="230"/>
    </row>
    <row r="26" spans="1:50" ht="33.75">
      <c r="A26" s="174"/>
      <c r="D26" s="163" t="s">
        <v>51</v>
      </c>
      <c r="E26" s="175">
        <f>MIN(B12,B9,B11)*J10</f>
        <v>56.699999999999996</v>
      </c>
      <c r="F26" s="175">
        <f>MAX(B12,B9,B11)*(D9+M9)</f>
        <v>180</v>
      </c>
      <c r="G26" s="174"/>
      <c r="H26" s="174"/>
      <c r="I26" s="174"/>
      <c r="J26" s="174"/>
      <c r="K26" s="174"/>
      <c r="L26" s="197"/>
      <c r="M26" s="197" t="s">
        <v>52</v>
      </c>
      <c r="N26" s="197" t="s">
        <v>53</v>
      </c>
      <c r="O26" s="203" t="s">
        <v>54</v>
      </c>
      <c r="P26" s="204"/>
      <c r="Q26" s="199"/>
      <c r="AM26" s="184" t="s">
        <v>55</v>
      </c>
      <c r="AN26" s="234">
        <v>1.1000000000000001</v>
      </c>
      <c r="AO26" s="231">
        <v>1.2</v>
      </c>
      <c r="AP26" s="231">
        <v>1.1000000000000001</v>
      </c>
      <c r="AQ26" s="231">
        <v>1</v>
      </c>
      <c r="AR26" s="231">
        <v>1</v>
      </c>
      <c r="AS26" s="231">
        <v>1</v>
      </c>
      <c r="AT26" s="231">
        <v>1.1000000000000001</v>
      </c>
      <c r="AU26" s="228">
        <v>0.9</v>
      </c>
      <c r="AV26" s="234">
        <v>0</v>
      </c>
      <c r="AW26" s="231">
        <v>0.1</v>
      </c>
      <c r="AX26" s="228">
        <v>0.2</v>
      </c>
    </row>
    <row r="27" spans="1:50" ht="45">
      <c r="A27" s="174"/>
      <c r="D27" s="163" t="s">
        <v>56</v>
      </c>
      <c r="E27" s="175">
        <f>MIN(B7,B8,B10)*J10</f>
        <v>51.8</v>
      </c>
      <c r="F27" s="175">
        <f>MAX(B7,B8,B10)*(D7+M7)</f>
        <v>171</v>
      </c>
      <c r="G27" s="174"/>
      <c r="H27" s="174"/>
      <c r="I27" s="174"/>
      <c r="J27" s="174"/>
      <c r="K27" s="174"/>
      <c r="L27" s="197" t="s">
        <v>57</v>
      </c>
      <c r="M27" s="197">
        <v>70</v>
      </c>
      <c r="N27" s="197">
        <v>70</v>
      </c>
      <c r="O27" s="196">
        <f t="shared" ref="O27:O32" si="1">0.85*N27</f>
        <v>59.5</v>
      </c>
      <c r="P27" s="196"/>
      <c r="Q27" s="199"/>
      <c r="AN27" s="236"/>
      <c r="AO27" s="233"/>
      <c r="AP27" s="233"/>
      <c r="AQ27" s="233"/>
      <c r="AR27" s="233"/>
      <c r="AS27" s="233"/>
      <c r="AT27" s="233"/>
      <c r="AU27" s="230"/>
      <c r="AV27" s="236"/>
      <c r="AW27" s="233"/>
      <c r="AX27" s="230"/>
    </row>
    <row r="28" spans="1:50" ht="20.100000000000001" customHeight="1">
      <c r="A28" s="174"/>
      <c r="D28" s="174"/>
      <c r="E28" s="174"/>
      <c r="F28" s="174"/>
      <c r="G28" s="174"/>
      <c r="H28" s="174"/>
      <c r="I28" s="174"/>
      <c r="J28" s="174"/>
      <c r="K28" s="174"/>
      <c r="L28" s="197" t="s">
        <v>58</v>
      </c>
      <c r="M28" s="197">
        <v>110</v>
      </c>
      <c r="N28" s="197">
        <v>110</v>
      </c>
      <c r="O28" s="196">
        <f t="shared" si="1"/>
        <v>93.5</v>
      </c>
      <c r="P28" s="196"/>
      <c r="Q28" s="199"/>
      <c r="AM28" s="184" t="s">
        <v>59</v>
      </c>
      <c r="AN28" s="234">
        <v>1.2</v>
      </c>
      <c r="AO28" s="231">
        <v>1.4</v>
      </c>
      <c r="AP28" s="231">
        <v>1.2</v>
      </c>
      <c r="AQ28" s="231">
        <v>1.1000000000000001</v>
      </c>
      <c r="AR28" s="231">
        <v>1</v>
      </c>
      <c r="AS28" s="231">
        <v>1</v>
      </c>
      <c r="AT28" s="231">
        <v>0.9</v>
      </c>
      <c r="AU28" s="228">
        <v>0.7</v>
      </c>
      <c r="AV28" s="234">
        <v>0</v>
      </c>
      <c r="AW28" s="231">
        <v>0.1</v>
      </c>
      <c r="AX28" s="228">
        <v>0.2</v>
      </c>
    </row>
    <row r="29" spans="1:50">
      <c r="A29" s="174"/>
      <c r="D29" s="174"/>
      <c r="E29" s="174"/>
      <c r="F29" s="174"/>
      <c r="G29" s="174"/>
      <c r="H29" s="174"/>
      <c r="I29" s="174"/>
      <c r="J29" s="174"/>
      <c r="K29" s="174"/>
      <c r="L29" s="197" t="s">
        <v>60</v>
      </c>
      <c r="M29" s="197">
        <v>180</v>
      </c>
      <c r="N29" s="197">
        <v>180</v>
      </c>
      <c r="O29" s="196">
        <f t="shared" si="1"/>
        <v>153</v>
      </c>
      <c r="P29" s="205">
        <v>0.56000000000000005</v>
      </c>
      <c r="Q29" s="207">
        <f>O29*P29</f>
        <v>85.68</v>
      </c>
      <c r="AN29" s="236"/>
      <c r="AO29" s="233"/>
      <c r="AP29" s="233"/>
      <c r="AQ29" s="233"/>
      <c r="AR29" s="233"/>
      <c r="AS29" s="233"/>
      <c r="AT29" s="233"/>
      <c r="AU29" s="230"/>
      <c r="AV29" s="236"/>
      <c r="AW29" s="233"/>
      <c r="AX29" s="230"/>
    </row>
    <row r="30" spans="1:50">
      <c r="A30" s="174"/>
      <c r="D30" s="174"/>
      <c r="E30" s="174"/>
      <c r="F30" s="174"/>
      <c r="G30" s="174"/>
      <c r="H30" s="174"/>
      <c r="I30" s="174"/>
      <c r="J30" s="174"/>
      <c r="K30" s="174"/>
      <c r="L30" s="197" t="s">
        <v>61</v>
      </c>
      <c r="M30" s="197">
        <v>250</v>
      </c>
      <c r="N30" s="197">
        <v>250</v>
      </c>
      <c r="O30" s="196">
        <f t="shared" si="1"/>
        <v>212.5</v>
      </c>
      <c r="P30" s="196"/>
      <c r="Q30" s="199"/>
      <c r="AM30" s="184" t="s">
        <v>62</v>
      </c>
      <c r="AN30" s="234">
        <v>1.2</v>
      </c>
      <c r="AO30" s="231">
        <v>1.3</v>
      </c>
      <c r="AP30" s="231">
        <v>1.2</v>
      </c>
      <c r="AQ30" s="231">
        <v>1.1000000000000001</v>
      </c>
      <c r="AR30" s="231">
        <v>1</v>
      </c>
      <c r="AS30" s="231">
        <v>1</v>
      </c>
      <c r="AT30" s="231">
        <v>1.1000000000000001</v>
      </c>
      <c r="AU30" s="228">
        <v>0.9</v>
      </c>
      <c r="AV30" s="234">
        <v>0</v>
      </c>
      <c r="AW30" s="231">
        <v>0.1</v>
      </c>
      <c r="AX30" s="228">
        <v>0.2</v>
      </c>
    </row>
    <row r="31" spans="1:50" ht="45">
      <c r="A31" s="174"/>
      <c r="D31" s="163" t="s">
        <v>42</v>
      </c>
      <c r="E31" s="163" t="s">
        <v>49</v>
      </c>
      <c r="F31" s="163" t="s">
        <v>51</v>
      </c>
      <c r="G31" s="163" t="s">
        <v>56</v>
      </c>
      <c r="H31" s="174"/>
      <c r="I31" s="174"/>
      <c r="J31" s="174"/>
      <c r="K31" s="174"/>
      <c r="L31" s="197" t="s">
        <v>63</v>
      </c>
      <c r="M31" s="197">
        <v>330</v>
      </c>
      <c r="N31" s="197">
        <v>330</v>
      </c>
      <c r="O31" s="196">
        <f t="shared" si="1"/>
        <v>280.5</v>
      </c>
      <c r="P31" s="196"/>
      <c r="Q31" s="199"/>
      <c r="AN31" s="236"/>
      <c r="AO31" s="233"/>
      <c r="AP31" s="233"/>
      <c r="AQ31" s="233"/>
      <c r="AR31" s="233"/>
      <c r="AS31" s="233"/>
      <c r="AT31" s="233"/>
      <c r="AU31" s="230"/>
      <c r="AV31" s="236"/>
      <c r="AW31" s="233"/>
      <c r="AX31" s="230"/>
    </row>
    <row r="32" spans="1:50" ht="45">
      <c r="A32" s="174"/>
      <c r="D32" s="163" t="s">
        <v>64</v>
      </c>
      <c r="E32" s="175">
        <f>B5*J5</f>
        <v>59.499999999999993</v>
      </c>
      <c r="F32" s="175">
        <f>MIN(B12,B9,B11)*J10</f>
        <v>56.699999999999996</v>
      </c>
      <c r="G32" s="175">
        <f>MIN(B7,B8,B10)*J10</f>
        <v>51.8</v>
      </c>
      <c r="H32" s="174"/>
      <c r="I32" s="174"/>
      <c r="J32" s="174"/>
      <c r="K32" s="174"/>
      <c r="L32" s="197" t="s">
        <v>65</v>
      </c>
      <c r="M32" s="197">
        <v>420</v>
      </c>
      <c r="N32" s="197">
        <v>420</v>
      </c>
      <c r="O32" s="196">
        <f t="shared" si="1"/>
        <v>357</v>
      </c>
      <c r="P32" s="196"/>
      <c r="Q32" s="199"/>
      <c r="AM32" s="179" t="s">
        <v>66</v>
      </c>
      <c r="AN32" s="234">
        <v>1</v>
      </c>
      <c r="AO32" s="231">
        <v>1.1000000000000001</v>
      </c>
      <c r="AP32" s="231">
        <v>1</v>
      </c>
      <c r="AQ32" s="231">
        <v>1</v>
      </c>
      <c r="AR32" s="231">
        <v>1</v>
      </c>
      <c r="AS32" s="231">
        <v>0.9</v>
      </c>
      <c r="AT32" s="231">
        <v>0.9</v>
      </c>
      <c r="AU32" s="228">
        <v>0.9</v>
      </c>
      <c r="AV32" s="234">
        <v>0</v>
      </c>
      <c r="AW32" s="231">
        <v>0.1</v>
      </c>
      <c r="AX32" s="228">
        <v>0.2</v>
      </c>
    </row>
    <row r="33" spans="1:50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81" t="s">
        <v>67</v>
      </c>
      <c r="M33" s="181" t="s">
        <v>68</v>
      </c>
      <c r="N33" s="181" t="s">
        <v>68</v>
      </c>
      <c r="O33" s="197" t="s">
        <v>69</v>
      </c>
      <c r="P33" s="197"/>
      <c r="Q33" s="199"/>
      <c r="AN33" s="236"/>
      <c r="AO33" s="233"/>
      <c r="AP33" s="233"/>
      <c r="AQ33" s="233"/>
      <c r="AR33" s="233"/>
      <c r="AS33" s="233"/>
      <c r="AT33" s="233"/>
      <c r="AU33" s="230"/>
      <c r="AV33" s="236"/>
      <c r="AW33" s="233"/>
      <c r="AX33" s="230"/>
    </row>
    <row r="34" spans="1:50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AM34" s="179" t="s">
        <v>70</v>
      </c>
      <c r="AN34" s="234">
        <v>0.9</v>
      </c>
      <c r="AO34" s="231">
        <v>1</v>
      </c>
      <c r="AP34" s="231">
        <v>1</v>
      </c>
      <c r="AQ34" s="231">
        <v>1</v>
      </c>
      <c r="AR34" s="231">
        <v>1</v>
      </c>
      <c r="AS34" s="231">
        <v>1</v>
      </c>
      <c r="AT34" s="231">
        <v>1.1000000000000001</v>
      </c>
      <c r="AU34" s="228">
        <v>1.1000000000000001</v>
      </c>
      <c r="AV34" s="234">
        <v>0</v>
      </c>
      <c r="AW34" s="231">
        <v>0</v>
      </c>
      <c r="AX34" s="228">
        <v>0</v>
      </c>
    </row>
    <row r="35" spans="1:50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AN35" s="236"/>
      <c r="AO35" s="233"/>
      <c r="AP35" s="233"/>
      <c r="AQ35" s="233"/>
      <c r="AR35" s="233"/>
      <c r="AS35" s="233"/>
      <c r="AT35" s="233"/>
      <c r="AU35" s="230"/>
      <c r="AV35" s="236"/>
      <c r="AW35" s="233"/>
      <c r="AX35" s="230"/>
    </row>
    <row r="36" spans="1:50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AM36" s="179" t="s">
        <v>71</v>
      </c>
      <c r="AN36" s="234">
        <v>1.2</v>
      </c>
      <c r="AO36" s="231">
        <v>1.5</v>
      </c>
      <c r="AP36" s="231">
        <v>1.2</v>
      </c>
      <c r="AQ36" s="231">
        <v>1.1000000000000001</v>
      </c>
      <c r="AR36" s="231">
        <v>1</v>
      </c>
      <c r="AS36" s="231">
        <v>0.9</v>
      </c>
      <c r="AT36" s="231">
        <v>0.8</v>
      </c>
      <c r="AU36" s="228">
        <v>0.7</v>
      </c>
      <c r="AV36" s="234">
        <v>0</v>
      </c>
      <c r="AW36" s="231">
        <v>0.4</v>
      </c>
      <c r="AX36" s="228">
        <v>0.8</v>
      </c>
    </row>
    <row r="37" spans="1:50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AN37" s="236"/>
      <c r="AO37" s="233"/>
      <c r="AP37" s="233"/>
      <c r="AQ37" s="233"/>
      <c r="AR37" s="233"/>
      <c r="AS37" s="233"/>
      <c r="AT37" s="233"/>
      <c r="AU37" s="230"/>
      <c r="AV37" s="236"/>
      <c r="AW37" s="233"/>
      <c r="AX37" s="230"/>
    </row>
    <row r="38" spans="1:50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AM38" s="179" t="s">
        <v>72</v>
      </c>
      <c r="AN38" s="234">
        <v>1.1000000000000001</v>
      </c>
      <c r="AO38" s="231">
        <v>1.4</v>
      </c>
      <c r="AP38" s="231">
        <v>1.2</v>
      </c>
      <c r="AQ38" s="231">
        <v>1</v>
      </c>
      <c r="AR38" s="231">
        <v>1</v>
      </c>
      <c r="AS38" s="231">
        <v>1</v>
      </c>
      <c r="AT38" s="231">
        <v>1.2</v>
      </c>
      <c r="AU38" s="228">
        <v>1.1000000000000001</v>
      </c>
      <c r="AV38" s="234">
        <v>0</v>
      </c>
      <c r="AW38" s="231">
        <v>0.2</v>
      </c>
      <c r="AX38" s="228">
        <v>0.5</v>
      </c>
    </row>
    <row r="39" spans="1:50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AN39" s="236"/>
      <c r="AO39" s="233"/>
      <c r="AP39" s="233"/>
      <c r="AQ39" s="233"/>
      <c r="AR39" s="233"/>
      <c r="AS39" s="233"/>
      <c r="AT39" s="233"/>
      <c r="AU39" s="230"/>
      <c r="AV39" s="236"/>
      <c r="AW39" s="233"/>
      <c r="AX39" s="230"/>
    </row>
    <row r="40" spans="1:50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AM40" s="179" t="s">
        <v>73</v>
      </c>
      <c r="AN40" s="234">
        <v>1.1000000000000001</v>
      </c>
      <c r="AO40" s="231">
        <v>1.3</v>
      </c>
      <c r="AP40" s="231">
        <v>1.2</v>
      </c>
      <c r="AQ40" s="231">
        <v>1.1000000000000001</v>
      </c>
      <c r="AR40" s="231">
        <v>1</v>
      </c>
      <c r="AS40" s="231">
        <v>1</v>
      </c>
      <c r="AT40" s="231">
        <v>0.9</v>
      </c>
      <c r="AU40" s="228">
        <v>0.8</v>
      </c>
      <c r="AV40" s="234">
        <v>0</v>
      </c>
      <c r="AW40" s="231">
        <v>0.3</v>
      </c>
      <c r="AX40" s="228">
        <v>0.5</v>
      </c>
    </row>
    <row r="41" spans="1:50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AN41" s="236"/>
      <c r="AO41" s="233"/>
      <c r="AP41" s="233"/>
      <c r="AQ41" s="233"/>
      <c r="AR41" s="233"/>
      <c r="AS41" s="233"/>
      <c r="AT41" s="233"/>
      <c r="AU41" s="230"/>
      <c r="AV41" s="236"/>
      <c r="AW41" s="233"/>
      <c r="AX41" s="230"/>
    </row>
    <row r="42" spans="1:50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AM42" s="179" t="s">
        <v>74</v>
      </c>
      <c r="AN42" s="234">
        <v>1</v>
      </c>
      <c r="AO42" s="231">
        <v>1.2</v>
      </c>
      <c r="AP42" s="231">
        <v>1.2</v>
      </c>
      <c r="AQ42" s="231">
        <v>1</v>
      </c>
      <c r="AR42" s="231">
        <v>1</v>
      </c>
      <c r="AS42" s="231">
        <v>1</v>
      </c>
      <c r="AT42" s="231">
        <v>1.1000000000000001</v>
      </c>
      <c r="AU42" s="228">
        <v>1</v>
      </c>
      <c r="AV42" s="234">
        <v>0</v>
      </c>
      <c r="AW42" s="231">
        <v>0.1</v>
      </c>
      <c r="AX42" s="228">
        <v>0.3</v>
      </c>
    </row>
    <row r="43" spans="1:50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AN43" s="236"/>
      <c r="AO43" s="233"/>
      <c r="AP43" s="233"/>
      <c r="AQ43" s="233"/>
      <c r="AR43" s="233"/>
      <c r="AS43" s="233"/>
      <c r="AT43" s="233"/>
      <c r="AU43" s="230"/>
      <c r="AV43" s="236"/>
      <c r="AW43" s="233"/>
      <c r="AX43" s="230"/>
    </row>
    <row r="44" spans="1:50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AM44" s="179" t="s">
        <v>75</v>
      </c>
      <c r="AN44" s="234">
        <v>1.1000000000000001</v>
      </c>
      <c r="AO44" s="231">
        <v>1.2</v>
      </c>
      <c r="AP44" s="231">
        <v>1.1000000000000001</v>
      </c>
      <c r="AQ44" s="231">
        <v>1.1000000000000001</v>
      </c>
      <c r="AR44" s="231">
        <v>1</v>
      </c>
      <c r="AS44" s="231">
        <v>1</v>
      </c>
      <c r="AT44" s="231">
        <v>1</v>
      </c>
      <c r="AU44" s="228">
        <v>0.9</v>
      </c>
      <c r="AV44" s="234">
        <v>0</v>
      </c>
      <c r="AW44" s="231">
        <v>0.1</v>
      </c>
      <c r="AX44" s="228">
        <v>0.3</v>
      </c>
    </row>
    <row r="45" spans="1:50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AN45" s="236"/>
      <c r="AO45" s="233"/>
      <c r="AP45" s="233"/>
      <c r="AQ45" s="233"/>
      <c r="AR45" s="233"/>
      <c r="AS45" s="233"/>
      <c r="AT45" s="233"/>
      <c r="AU45" s="230"/>
      <c r="AV45" s="236"/>
      <c r="AW45" s="233"/>
      <c r="AX45" s="230"/>
    </row>
    <row r="46" spans="1:50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AM46" s="179" t="s">
        <v>76</v>
      </c>
      <c r="AN46" s="234">
        <v>1</v>
      </c>
      <c r="AO46" s="231">
        <v>1.1000000000000001</v>
      </c>
      <c r="AP46" s="231">
        <v>1.1000000000000001</v>
      </c>
      <c r="AQ46" s="231">
        <v>1</v>
      </c>
      <c r="AR46" s="231">
        <v>1</v>
      </c>
      <c r="AS46" s="231">
        <v>1</v>
      </c>
      <c r="AT46" s="231">
        <v>1.1000000000000001</v>
      </c>
      <c r="AU46" s="228">
        <v>1</v>
      </c>
      <c r="AV46" s="234">
        <v>0</v>
      </c>
      <c r="AW46" s="231">
        <v>0.1</v>
      </c>
      <c r="AX46" s="228">
        <v>0.2</v>
      </c>
    </row>
    <row r="47" spans="1:50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AN47" s="236"/>
      <c r="AO47" s="233"/>
      <c r="AP47" s="233"/>
      <c r="AQ47" s="233"/>
      <c r="AR47" s="233"/>
      <c r="AS47" s="233"/>
      <c r="AT47" s="233"/>
      <c r="AU47" s="230"/>
      <c r="AV47" s="236"/>
      <c r="AW47" s="233"/>
      <c r="AX47" s="230"/>
    </row>
    <row r="48" spans="1:50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209" t="s">
        <v>77</v>
      </c>
      <c r="O48" s="174"/>
      <c r="P48" s="174"/>
    </row>
    <row r="49" spans="1:50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 t="e">
        <f>VLOOKUP(#REF!,A5:M13,COLUMN(C4),FALSE)</f>
        <v>#REF!</v>
      </c>
      <c r="O49" s="174"/>
      <c r="P49" s="174">
        <f>HLOOKUP('Tableau 1 Besoins'!Q71,C2:M3,2,FALSE)</f>
        <v>4</v>
      </c>
    </row>
    <row r="50" spans="1:50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AN50" s="190">
        <f t="shared" ref="AN50:AX50" si="2">AVERAGE(AN8:AN47)</f>
        <v>1.088888888888889</v>
      </c>
      <c r="AO50" s="190">
        <f t="shared" si="2"/>
        <v>1.25</v>
      </c>
      <c r="AP50" s="190">
        <f t="shared" si="2"/>
        <v>1.1499999999999999</v>
      </c>
      <c r="AQ50" s="190">
        <f t="shared" si="2"/>
        <v>1.0499999999999998</v>
      </c>
      <c r="AR50" s="190">
        <f t="shared" si="2"/>
        <v>1</v>
      </c>
      <c r="AS50" s="190">
        <f t="shared" si="2"/>
        <v>0.98888888888888893</v>
      </c>
      <c r="AT50" s="190">
        <f t="shared" si="2"/>
        <v>1.0166666666666668</v>
      </c>
      <c r="AU50" s="190">
        <f t="shared" si="2"/>
        <v>0.89444444444444449</v>
      </c>
      <c r="AV50" s="190">
        <f t="shared" si="2"/>
        <v>0</v>
      </c>
      <c r="AW50" s="190">
        <f t="shared" si="2"/>
        <v>0.13333333333333336</v>
      </c>
      <c r="AX50" s="190">
        <f t="shared" si="2"/>
        <v>0.27777777777777779</v>
      </c>
    </row>
    <row r="51" spans="1:50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50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50">
      <c r="A53" s="174"/>
      <c r="B53" s="174"/>
      <c r="C53" s="174"/>
      <c r="D53" s="174"/>
      <c r="E53" s="174"/>
      <c r="F53" s="174"/>
      <c r="G53" s="174"/>
      <c r="H53" s="174"/>
    </row>
    <row r="54" spans="1:50">
      <c r="A54" s="174"/>
      <c r="B54" s="174"/>
      <c r="C54" s="174"/>
      <c r="D54" s="174"/>
      <c r="E54" s="174"/>
      <c r="F54" s="174"/>
      <c r="G54" s="174"/>
      <c r="H54" s="174"/>
    </row>
    <row r="55" spans="1:50">
      <c r="A55" s="174"/>
      <c r="B55" s="174"/>
      <c r="C55" s="174"/>
      <c r="D55" s="174"/>
      <c r="E55" s="174"/>
      <c r="F55" s="174"/>
      <c r="G55" s="174"/>
      <c r="H55" s="174"/>
    </row>
    <row r="56" spans="1:50">
      <c r="A56" s="174"/>
      <c r="B56" s="174"/>
      <c r="C56" s="174"/>
      <c r="D56" s="174"/>
      <c r="E56" s="174"/>
      <c r="F56" s="174"/>
      <c r="G56" s="174"/>
      <c r="H56" s="174"/>
    </row>
    <row r="57" spans="1:50">
      <c r="A57" s="174"/>
      <c r="B57" s="174"/>
      <c r="C57" s="174"/>
      <c r="D57" s="174"/>
      <c r="E57" s="174"/>
      <c r="F57" s="174"/>
      <c r="G57" s="174"/>
      <c r="H57" s="174"/>
    </row>
    <row r="58" spans="1:50">
      <c r="A58" s="174"/>
      <c r="B58" s="174"/>
      <c r="C58" s="174"/>
      <c r="D58" s="174"/>
      <c r="E58" s="174"/>
      <c r="F58" s="174"/>
      <c r="G58" s="174"/>
      <c r="H58" s="174"/>
    </row>
    <row r="59" spans="1:50">
      <c r="A59" s="174"/>
      <c r="B59" s="174"/>
      <c r="C59" s="174"/>
      <c r="D59" s="174"/>
      <c r="E59" s="174"/>
      <c r="F59" s="174"/>
      <c r="G59" s="174"/>
      <c r="H59" s="174"/>
    </row>
    <row r="60" spans="1:50">
      <c r="A60" s="174"/>
      <c r="B60" s="174"/>
      <c r="C60" s="174"/>
      <c r="D60" s="174"/>
      <c r="E60" s="174"/>
      <c r="F60" s="174"/>
      <c r="G60" s="174"/>
      <c r="H60" s="174"/>
    </row>
    <row r="61" spans="1:50">
      <c r="A61" s="174"/>
      <c r="B61" s="174"/>
      <c r="C61" s="174"/>
      <c r="D61" s="174"/>
      <c r="E61" s="174"/>
      <c r="F61" s="174"/>
      <c r="G61" s="174"/>
      <c r="H61" s="174"/>
    </row>
    <row r="62" spans="1:50">
      <c r="A62" s="174"/>
      <c r="B62" s="174"/>
      <c r="C62" s="174"/>
      <c r="D62" s="174"/>
      <c r="E62" s="174"/>
      <c r="F62" s="174"/>
      <c r="G62" s="174"/>
      <c r="H62" s="174"/>
    </row>
    <row r="63" spans="1:50">
      <c r="A63" s="174"/>
      <c r="B63" s="174"/>
      <c r="C63" s="174"/>
      <c r="D63" s="174"/>
      <c r="E63" s="174"/>
      <c r="F63" s="174"/>
      <c r="G63" s="174"/>
      <c r="H63" s="174"/>
    </row>
    <row r="64" spans="1:50">
      <c r="A64" s="174"/>
      <c r="B64" s="174"/>
      <c r="C64" s="174"/>
      <c r="D64" s="174"/>
      <c r="E64" s="174"/>
      <c r="F64" s="174"/>
      <c r="G64" s="174"/>
      <c r="H64" s="174"/>
    </row>
    <row r="65" spans="1:23">
      <c r="A65" s="174"/>
      <c r="B65" s="174"/>
      <c r="C65" s="174"/>
      <c r="D65" s="174"/>
      <c r="E65" s="174"/>
      <c r="F65" s="174"/>
      <c r="G65" s="174"/>
      <c r="H65" s="174"/>
    </row>
    <row r="66" spans="1:23">
      <c r="A66" s="174"/>
      <c r="B66" s="174"/>
      <c r="C66" s="174"/>
      <c r="D66" s="174"/>
      <c r="E66" s="174"/>
      <c r="F66" s="174"/>
      <c r="G66" s="174"/>
      <c r="H66" s="174"/>
    </row>
    <row r="67" spans="1:23">
      <c r="A67" s="174"/>
      <c r="B67" s="174"/>
      <c r="C67" s="174"/>
      <c r="D67" s="174"/>
      <c r="E67" s="174"/>
      <c r="F67" s="174"/>
      <c r="G67" s="174"/>
      <c r="H67" s="174"/>
    </row>
    <row r="68" spans="1:23">
      <c r="A68" s="174"/>
      <c r="B68" s="174"/>
      <c r="C68" s="174"/>
      <c r="D68" s="174"/>
      <c r="E68" s="174"/>
      <c r="F68" s="174"/>
      <c r="G68" s="174"/>
      <c r="H68" s="174"/>
    </row>
    <row r="69" spans="1:23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1:23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1:23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</row>
    <row r="72" spans="1:23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1:23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</row>
    <row r="74" spans="1:23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</row>
    <row r="75" spans="1:23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</row>
    <row r="76" spans="1:23">
      <c r="A76" s="174"/>
      <c r="B76" s="174"/>
      <c r="C76" s="174"/>
    </row>
    <row r="77" spans="1:23">
      <c r="A77" s="174"/>
      <c r="B77" s="174"/>
      <c r="C77" s="174"/>
    </row>
    <row r="78" spans="1:23">
      <c r="A78" s="174"/>
      <c r="B78" s="174"/>
      <c r="C78" s="174"/>
    </row>
    <row r="79" spans="1:23">
      <c r="A79" s="174"/>
      <c r="B79" s="174"/>
      <c r="C79" s="174"/>
    </row>
    <row r="80" spans="1:23">
      <c r="A80" s="174"/>
      <c r="B80" s="174"/>
      <c r="C80" s="174"/>
      <c r="F80" s="181"/>
      <c r="G80" s="237" t="s">
        <v>20</v>
      </c>
      <c r="H80" s="237"/>
      <c r="I80" s="237"/>
      <c r="J80" s="237"/>
      <c r="K80" s="237"/>
      <c r="L80" s="237"/>
      <c r="M80" s="237"/>
      <c r="N80" s="237"/>
      <c r="O80" s="237"/>
      <c r="P80" s="186"/>
      <c r="Q80" s="186"/>
      <c r="R80" s="186"/>
      <c r="S80" s="186"/>
      <c r="T80" s="186"/>
      <c r="U80" s="186"/>
      <c r="V80" s="186"/>
      <c r="W80" s="186"/>
    </row>
    <row r="81" spans="1:15">
      <c r="A81" s="174"/>
      <c r="B81" s="174"/>
      <c r="C81" s="174"/>
      <c r="F81" s="181"/>
      <c r="G81" s="189" t="s">
        <v>0</v>
      </c>
      <c r="H81" s="189" t="s">
        <v>1</v>
      </c>
      <c r="I81" s="189" t="s">
        <v>2</v>
      </c>
      <c r="J81" s="189" t="s">
        <v>3</v>
      </c>
      <c r="K81" s="189" t="s">
        <v>4</v>
      </c>
      <c r="L81" s="189" t="s">
        <v>5</v>
      </c>
      <c r="M81" s="189" t="s">
        <v>6</v>
      </c>
      <c r="N81" s="189"/>
      <c r="O81" s="181" t="s">
        <v>7</v>
      </c>
    </row>
    <row r="82" spans="1:15">
      <c r="A82" s="174"/>
      <c r="B82" s="174"/>
      <c r="C82" s="174"/>
      <c r="F82" s="180" t="s">
        <v>78</v>
      </c>
      <c r="G82" s="180" t="s">
        <v>79</v>
      </c>
      <c r="H82" s="180" t="s">
        <v>79</v>
      </c>
      <c r="I82" s="180" t="s">
        <v>79</v>
      </c>
      <c r="J82" s="180" t="s">
        <v>79</v>
      </c>
      <c r="K82" s="180" t="s">
        <v>79</v>
      </c>
      <c r="L82" s="180" t="s">
        <v>79</v>
      </c>
      <c r="M82" s="180" t="s">
        <v>79</v>
      </c>
      <c r="N82" s="180"/>
      <c r="O82" s="180" t="s">
        <v>79</v>
      </c>
    </row>
    <row r="83" spans="1:15">
      <c r="A83" s="174"/>
      <c r="B83" s="174"/>
      <c r="C83" s="174"/>
      <c r="F83" s="191" t="s">
        <v>8</v>
      </c>
      <c r="G83" s="163">
        <v>57</v>
      </c>
      <c r="H83" s="163">
        <v>66</v>
      </c>
      <c r="I83" s="163">
        <v>62</v>
      </c>
      <c r="J83" s="163">
        <v>57</v>
      </c>
      <c r="K83" s="163">
        <v>50</v>
      </c>
      <c r="L83" s="163">
        <v>56</v>
      </c>
      <c r="M83" s="163">
        <v>63</v>
      </c>
      <c r="N83" s="163"/>
      <c r="O83" s="163">
        <v>40</v>
      </c>
    </row>
    <row r="84" spans="1:15">
      <c r="A84" s="174"/>
      <c r="B84" s="174"/>
      <c r="C84" s="174"/>
      <c r="F84" s="191" t="s">
        <v>9</v>
      </c>
      <c r="G84" s="163">
        <v>68</v>
      </c>
      <c r="H84" s="163">
        <v>77</v>
      </c>
      <c r="I84" s="163">
        <v>71</v>
      </c>
      <c r="J84" s="163" t="s">
        <v>80</v>
      </c>
      <c r="K84" s="163">
        <v>61</v>
      </c>
      <c r="L84" s="163">
        <v>64</v>
      </c>
      <c r="M84" s="163">
        <v>66</v>
      </c>
      <c r="N84" s="163"/>
      <c r="O84" s="163">
        <v>44</v>
      </c>
    </row>
    <row r="85" spans="1:15">
      <c r="A85" s="174"/>
      <c r="B85" s="174"/>
      <c r="C85" s="174"/>
      <c r="F85" s="191" t="s">
        <v>81</v>
      </c>
      <c r="G85" s="163" t="s">
        <v>80</v>
      </c>
      <c r="H85" s="163">
        <v>90</v>
      </c>
      <c r="I85" s="163">
        <v>81</v>
      </c>
      <c r="J85" s="163" t="s">
        <v>80</v>
      </c>
      <c r="K85" s="163" t="s">
        <v>80</v>
      </c>
      <c r="L85" s="163">
        <v>75</v>
      </c>
      <c r="M85" s="163">
        <v>68</v>
      </c>
      <c r="N85" s="163"/>
      <c r="O85" s="163">
        <v>54</v>
      </c>
    </row>
    <row r="86" spans="1:15">
      <c r="A86" s="174"/>
      <c r="B86" s="174"/>
      <c r="C86" s="174"/>
      <c r="F86" s="191" t="s">
        <v>82</v>
      </c>
      <c r="G86" s="163" t="s">
        <v>80</v>
      </c>
      <c r="H86" s="163">
        <v>125</v>
      </c>
      <c r="I86" s="163">
        <v>115</v>
      </c>
      <c r="J86" s="163" t="s">
        <v>80</v>
      </c>
      <c r="K86" s="163" t="s">
        <v>80</v>
      </c>
      <c r="L86" s="163">
        <v>109</v>
      </c>
      <c r="M86" s="163">
        <v>99</v>
      </c>
      <c r="N86" s="163"/>
      <c r="O86" s="163">
        <v>84</v>
      </c>
    </row>
    <row r="87" spans="1:15">
      <c r="A87" s="174"/>
      <c r="B87" s="174"/>
      <c r="C87" s="174"/>
      <c r="F87" s="191" t="s">
        <v>83</v>
      </c>
      <c r="G87" s="163" t="s">
        <v>80</v>
      </c>
      <c r="H87" s="163" t="s">
        <v>80</v>
      </c>
      <c r="I87" s="163">
        <v>133</v>
      </c>
      <c r="J87" s="163" t="s">
        <v>80</v>
      </c>
      <c r="K87" s="163" t="s">
        <v>80</v>
      </c>
      <c r="L87" s="163">
        <v>117</v>
      </c>
      <c r="M87" s="163">
        <v>107</v>
      </c>
      <c r="N87" s="163"/>
      <c r="O87" s="163">
        <v>92</v>
      </c>
    </row>
    <row r="88" spans="1:15">
      <c r="A88" s="174"/>
      <c r="B88" s="174"/>
      <c r="C88" s="174"/>
    </row>
    <row r="89" spans="1:15">
      <c r="A89" s="174"/>
      <c r="B89" s="174"/>
      <c r="C89" s="174"/>
    </row>
    <row r="90" spans="1:15">
      <c r="A90" s="174"/>
      <c r="B90" s="174"/>
      <c r="C90" s="174"/>
      <c r="F90" s="181"/>
      <c r="G90" s="237" t="s">
        <v>22</v>
      </c>
      <c r="H90" s="237"/>
      <c r="I90" s="237"/>
      <c r="J90" s="237"/>
      <c r="K90" s="237"/>
      <c r="L90" s="237"/>
      <c r="M90" s="237"/>
      <c r="N90" s="237"/>
      <c r="O90" s="237"/>
    </row>
    <row r="91" spans="1:15">
      <c r="A91" s="174"/>
      <c r="B91" s="174"/>
      <c r="C91" s="174"/>
      <c r="F91" s="181"/>
      <c r="G91" s="189" t="s">
        <v>0</v>
      </c>
      <c r="H91" s="189" t="s">
        <v>1</v>
      </c>
      <c r="I91" s="189" t="s">
        <v>2</v>
      </c>
      <c r="J91" s="189" t="s">
        <v>3</v>
      </c>
      <c r="K91" s="189" t="s">
        <v>4</v>
      </c>
      <c r="L91" s="189" t="s">
        <v>5</v>
      </c>
      <c r="M91" s="189" t="s">
        <v>6</v>
      </c>
      <c r="N91" s="189"/>
      <c r="O91" s="181" t="s">
        <v>7</v>
      </c>
    </row>
    <row r="92" spans="1:15">
      <c r="A92" s="174"/>
      <c r="B92" s="174"/>
      <c r="C92" s="174"/>
      <c r="F92" s="180" t="s">
        <v>78</v>
      </c>
      <c r="G92" s="180" t="s">
        <v>79</v>
      </c>
      <c r="H92" s="180" t="s">
        <v>79</v>
      </c>
      <c r="I92" s="180" t="s">
        <v>79</v>
      </c>
      <c r="J92" s="180" t="s">
        <v>79</v>
      </c>
      <c r="K92" s="180" t="s">
        <v>79</v>
      </c>
      <c r="L92" s="180" t="s">
        <v>79</v>
      </c>
      <c r="M92" s="180" t="s">
        <v>79</v>
      </c>
      <c r="N92" s="180"/>
      <c r="O92" s="180" t="s">
        <v>79</v>
      </c>
    </row>
    <row r="93" spans="1:15">
      <c r="A93" s="174"/>
      <c r="B93" s="174"/>
      <c r="C93" s="174"/>
      <c r="F93" s="191" t="s">
        <v>8</v>
      </c>
      <c r="G93" s="163">
        <v>57</v>
      </c>
      <c r="H93" s="163">
        <v>66</v>
      </c>
      <c r="I93" s="163">
        <v>62</v>
      </c>
      <c r="J93" s="163">
        <v>57</v>
      </c>
      <c r="K93" s="163">
        <v>50</v>
      </c>
      <c r="L93" s="163">
        <v>56</v>
      </c>
      <c r="M93" s="163">
        <v>63</v>
      </c>
      <c r="N93" s="163"/>
      <c r="O93" s="163">
        <v>40</v>
      </c>
    </row>
    <row r="94" spans="1:15">
      <c r="A94" s="174"/>
      <c r="B94" s="174"/>
      <c r="C94" s="174"/>
      <c r="F94" s="191" t="s">
        <v>9</v>
      </c>
      <c r="G94" s="163">
        <v>68</v>
      </c>
      <c r="H94" s="163">
        <v>77</v>
      </c>
      <c r="I94" s="163">
        <v>71</v>
      </c>
      <c r="J94" s="163" t="s">
        <v>80</v>
      </c>
      <c r="K94" s="163">
        <v>61</v>
      </c>
      <c r="L94" s="163">
        <v>64</v>
      </c>
      <c r="M94" s="163">
        <v>66</v>
      </c>
      <c r="N94" s="163"/>
      <c r="O94" s="163">
        <v>44</v>
      </c>
    </row>
    <row r="95" spans="1:15">
      <c r="A95" s="174"/>
      <c r="B95" s="174"/>
      <c r="C95" s="174"/>
      <c r="F95" s="191" t="s">
        <v>81</v>
      </c>
      <c r="G95" s="163" t="s">
        <v>80</v>
      </c>
      <c r="H95" s="163">
        <v>90</v>
      </c>
      <c r="I95" s="163">
        <v>81</v>
      </c>
      <c r="J95" s="163" t="s">
        <v>80</v>
      </c>
      <c r="K95" s="163" t="s">
        <v>80</v>
      </c>
      <c r="L95" s="163">
        <v>75</v>
      </c>
      <c r="M95" s="163">
        <v>68</v>
      </c>
      <c r="N95" s="163"/>
      <c r="O95" s="163">
        <v>54</v>
      </c>
    </row>
    <row r="96" spans="1:15">
      <c r="A96" s="174"/>
      <c r="B96" s="174"/>
      <c r="C96" s="174"/>
      <c r="F96" s="191" t="s">
        <v>82</v>
      </c>
      <c r="G96" s="163" t="s">
        <v>80</v>
      </c>
      <c r="H96" s="163">
        <v>125</v>
      </c>
      <c r="I96" s="163">
        <v>115</v>
      </c>
      <c r="J96" s="163" t="s">
        <v>80</v>
      </c>
      <c r="K96" s="163" t="s">
        <v>80</v>
      </c>
      <c r="L96" s="163">
        <v>109</v>
      </c>
      <c r="M96" s="163">
        <v>99</v>
      </c>
      <c r="N96" s="163"/>
      <c r="O96" s="163">
        <v>84</v>
      </c>
    </row>
    <row r="97" spans="1:15">
      <c r="A97" s="174"/>
      <c r="B97" s="174"/>
      <c r="C97" s="174"/>
      <c r="F97" s="191" t="s">
        <v>83</v>
      </c>
      <c r="G97" s="163" t="s">
        <v>80</v>
      </c>
      <c r="H97" s="163" t="s">
        <v>80</v>
      </c>
      <c r="I97" s="163">
        <v>133</v>
      </c>
      <c r="J97" s="163" t="s">
        <v>80</v>
      </c>
      <c r="K97" s="163" t="s">
        <v>80</v>
      </c>
      <c r="L97" s="163">
        <v>117</v>
      </c>
      <c r="M97" s="163">
        <v>107</v>
      </c>
      <c r="N97" s="163"/>
      <c r="O97" s="163">
        <v>92</v>
      </c>
    </row>
    <row r="98" spans="1:15">
      <c r="A98" s="174"/>
      <c r="B98" s="174"/>
      <c r="C98" s="174"/>
    </row>
    <row r="99" spans="1:15">
      <c r="A99" s="174"/>
      <c r="B99" s="174"/>
      <c r="C99" s="174"/>
    </row>
    <row r="100" spans="1:15">
      <c r="A100" s="174"/>
      <c r="B100" s="174"/>
      <c r="C100" s="174"/>
      <c r="F100" s="181"/>
      <c r="G100" s="237" t="s">
        <v>24</v>
      </c>
      <c r="H100" s="237"/>
      <c r="I100" s="237"/>
      <c r="J100" s="237"/>
      <c r="K100" s="237"/>
      <c r="L100" s="237"/>
      <c r="M100" s="237"/>
      <c r="N100" s="237"/>
      <c r="O100" s="237"/>
    </row>
    <row r="101" spans="1:15">
      <c r="A101" s="174"/>
      <c r="B101" s="174"/>
      <c r="C101" s="174"/>
      <c r="F101" s="181"/>
      <c r="G101" s="189" t="s">
        <v>0</v>
      </c>
      <c r="H101" s="189" t="s">
        <v>1</v>
      </c>
      <c r="I101" s="189" t="s">
        <v>2</v>
      </c>
      <c r="J101" s="189" t="s">
        <v>3</v>
      </c>
      <c r="K101" s="189" t="s">
        <v>4</v>
      </c>
      <c r="L101" s="189" t="s">
        <v>5</v>
      </c>
      <c r="M101" s="189" t="s">
        <v>6</v>
      </c>
      <c r="N101" s="189"/>
      <c r="O101" s="181" t="s">
        <v>7</v>
      </c>
    </row>
    <row r="102" spans="1:15">
      <c r="A102" s="174"/>
      <c r="B102" s="174"/>
      <c r="C102" s="174"/>
      <c r="F102" s="180" t="s">
        <v>78</v>
      </c>
      <c r="G102" s="180" t="s">
        <v>79</v>
      </c>
      <c r="H102" s="180" t="s">
        <v>79</v>
      </c>
      <c r="I102" s="180" t="s">
        <v>79</v>
      </c>
      <c r="J102" s="180" t="s">
        <v>79</v>
      </c>
      <c r="K102" s="180" t="s">
        <v>79</v>
      </c>
      <c r="L102" s="180" t="s">
        <v>79</v>
      </c>
      <c r="M102" s="180" t="s">
        <v>79</v>
      </c>
      <c r="N102" s="180"/>
      <c r="O102" s="180" t="s">
        <v>79</v>
      </c>
    </row>
    <row r="103" spans="1:15">
      <c r="A103" s="174"/>
      <c r="B103" s="174"/>
      <c r="C103" s="174"/>
      <c r="F103" s="191" t="s">
        <v>8</v>
      </c>
      <c r="G103" s="163">
        <v>70</v>
      </c>
      <c r="H103" s="163">
        <v>79</v>
      </c>
      <c r="I103" s="163">
        <v>72</v>
      </c>
      <c r="J103" s="163">
        <v>69</v>
      </c>
      <c r="K103" s="163">
        <v>60</v>
      </c>
      <c r="L103" s="163">
        <v>64</v>
      </c>
      <c r="M103" s="163">
        <v>66</v>
      </c>
      <c r="N103" s="163"/>
      <c r="O103" s="163">
        <v>44</v>
      </c>
    </row>
    <row r="104" spans="1:15">
      <c r="A104" s="174"/>
      <c r="B104" s="174"/>
      <c r="C104" s="174"/>
      <c r="F104" s="191" t="s">
        <v>9</v>
      </c>
      <c r="G104" s="163">
        <v>88</v>
      </c>
      <c r="H104" s="163">
        <v>96</v>
      </c>
      <c r="I104" s="163">
        <v>87</v>
      </c>
      <c r="J104" s="163" t="s">
        <v>80</v>
      </c>
      <c r="K104" s="163">
        <v>77</v>
      </c>
      <c r="L104" s="163">
        <v>79</v>
      </c>
      <c r="M104" s="163">
        <v>76</v>
      </c>
      <c r="N104" s="163"/>
      <c r="O104" s="163">
        <v>54</v>
      </c>
    </row>
    <row r="105" spans="1:15">
      <c r="A105" s="174"/>
      <c r="B105" s="174"/>
      <c r="C105" s="174"/>
      <c r="F105" s="191" t="s">
        <v>81</v>
      </c>
      <c r="G105" s="163" t="s">
        <v>80</v>
      </c>
      <c r="H105" s="163">
        <v>115</v>
      </c>
      <c r="I105" s="163">
        <v>104</v>
      </c>
      <c r="J105" s="163" t="s">
        <v>80</v>
      </c>
      <c r="K105" s="163" t="s">
        <v>80</v>
      </c>
      <c r="L105" s="163">
        <v>96</v>
      </c>
      <c r="M105" s="163">
        <v>87</v>
      </c>
      <c r="N105" s="163"/>
      <c r="O105" s="163">
        <v>69</v>
      </c>
    </row>
    <row r="106" spans="1:15">
      <c r="A106" s="174"/>
      <c r="B106" s="174"/>
      <c r="C106" s="174"/>
      <c r="F106" s="191" t="s">
        <v>82</v>
      </c>
      <c r="G106" s="163" t="s">
        <v>80</v>
      </c>
      <c r="H106" s="163">
        <v>161</v>
      </c>
      <c r="I106" s="163">
        <v>148</v>
      </c>
      <c r="J106" s="163" t="s">
        <v>80</v>
      </c>
      <c r="K106" s="163" t="s">
        <v>80</v>
      </c>
      <c r="L106" s="163">
        <v>140</v>
      </c>
      <c r="M106" s="163">
        <v>128</v>
      </c>
      <c r="N106" s="163"/>
      <c r="O106" s="163">
        <v>109</v>
      </c>
    </row>
    <row r="107" spans="1:15">
      <c r="A107" s="174"/>
      <c r="B107" s="174"/>
      <c r="C107" s="174"/>
      <c r="F107" s="191" t="s">
        <v>83</v>
      </c>
      <c r="G107" s="163" t="s">
        <v>80</v>
      </c>
      <c r="H107" s="163" t="s">
        <v>80</v>
      </c>
      <c r="I107" s="163">
        <v>159</v>
      </c>
      <c r="J107" s="163" t="s">
        <v>80</v>
      </c>
      <c r="K107" s="163" t="s">
        <v>80</v>
      </c>
      <c r="L107" s="163">
        <v>152</v>
      </c>
      <c r="M107" s="163">
        <v>138</v>
      </c>
      <c r="N107" s="163"/>
      <c r="O107" s="163">
        <v>119</v>
      </c>
    </row>
    <row r="108" spans="1:15">
      <c r="A108" s="174"/>
      <c r="B108" s="174"/>
      <c r="C108" s="174"/>
    </row>
    <row r="109" spans="1:15">
      <c r="A109" s="174"/>
      <c r="B109" s="174"/>
      <c r="C109" s="174"/>
    </row>
    <row r="110" spans="1:15">
      <c r="A110" s="174"/>
      <c r="B110" s="174"/>
      <c r="C110" s="174"/>
      <c r="F110" s="181"/>
      <c r="G110" s="237" t="s">
        <v>26</v>
      </c>
      <c r="H110" s="237"/>
      <c r="I110" s="237"/>
      <c r="J110" s="237"/>
      <c r="K110" s="237"/>
      <c r="L110" s="237"/>
      <c r="M110" s="237"/>
      <c r="N110" s="237"/>
      <c r="O110" s="237"/>
    </row>
    <row r="111" spans="1:15">
      <c r="A111" s="174"/>
      <c r="B111" s="174"/>
      <c r="C111" s="174"/>
      <c r="F111" s="181"/>
      <c r="G111" s="189" t="s">
        <v>0</v>
      </c>
      <c r="H111" s="189" t="s">
        <v>1</v>
      </c>
      <c r="I111" s="189" t="s">
        <v>2</v>
      </c>
      <c r="J111" s="189" t="s">
        <v>3</v>
      </c>
      <c r="K111" s="189" t="s">
        <v>4</v>
      </c>
      <c r="L111" s="189" t="s">
        <v>5</v>
      </c>
      <c r="M111" s="189" t="s">
        <v>6</v>
      </c>
      <c r="N111" s="189"/>
      <c r="O111" s="181" t="s">
        <v>7</v>
      </c>
    </row>
    <row r="112" spans="1:15">
      <c r="A112" s="174"/>
      <c r="B112" s="174"/>
      <c r="C112" s="174"/>
      <c r="F112" s="180" t="s">
        <v>78</v>
      </c>
      <c r="G112" s="180" t="s">
        <v>79</v>
      </c>
      <c r="H112" s="180" t="s">
        <v>79</v>
      </c>
      <c r="I112" s="180" t="s">
        <v>79</v>
      </c>
      <c r="J112" s="180" t="s">
        <v>79</v>
      </c>
      <c r="K112" s="180" t="s">
        <v>79</v>
      </c>
      <c r="L112" s="180" t="s">
        <v>79</v>
      </c>
      <c r="M112" s="180" t="s">
        <v>79</v>
      </c>
      <c r="N112" s="180"/>
      <c r="O112" s="180" t="s">
        <v>79</v>
      </c>
    </row>
    <row r="113" spans="1:15">
      <c r="A113" s="174"/>
      <c r="B113" s="174"/>
      <c r="C113" s="174"/>
      <c r="F113" s="191" t="s">
        <v>8</v>
      </c>
      <c r="G113" s="163">
        <v>57</v>
      </c>
      <c r="H113" s="163">
        <v>66</v>
      </c>
      <c r="I113" s="163">
        <v>62</v>
      </c>
      <c r="J113" s="163">
        <v>57</v>
      </c>
      <c r="K113" s="163">
        <v>50</v>
      </c>
      <c r="L113" s="163">
        <v>56</v>
      </c>
      <c r="M113" s="163">
        <v>63</v>
      </c>
      <c r="N113" s="163"/>
      <c r="O113" s="163">
        <v>40</v>
      </c>
    </row>
    <row r="114" spans="1:15">
      <c r="A114" s="174"/>
      <c r="B114" s="174"/>
      <c r="C114" s="174"/>
      <c r="F114" s="191" t="s">
        <v>9</v>
      </c>
      <c r="G114" s="163">
        <v>68</v>
      </c>
      <c r="H114" s="163">
        <v>77</v>
      </c>
      <c r="I114" s="163">
        <v>71</v>
      </c>
      <c r="J114" s="163" t="s">
        <v>80</v>
      </c>
      <c r="K114" s="163">
        <v>61</v>
      </c>
      <c r="L114" s="163">
        <v>64</v>
      </c>
      <c r="M114" s="163">
        <v>66</v>
      </c>
      <c r="N114" s="163"/>
      <c r="O114" s="163">
        <v>44</v>
      </c>
    </row>
    <row r="115" spans="1:15">
      <c r="A115" s="174"/>
      <c r="B115" s="174"/>
      <c r="C115" s="174"/>
      <c r="F115" s="191" t="s">
        <v>81</v>
      </c>
      <c r="G115" s="163" t="s">
        <v>80</v>
      </c>
      <c r="H115" s="163">
        <v>90</v>
      </c>
      <c r="I115" s="163">
        <v>81</v>
      </c>
      <c r="J115" s="163" t="s">
        <v>80</v>
      </c>
      <c r="K115" s="163" t="s">
        <v>80</v>
      </c>
      <c r="L115" s="163">
        <v>75</v>
      </c>
      <c r="M115" s="163">
        <v>68</v>
      </c>
      <c r="N115" s="163"/>
      <c r="O115" s="163">
        <v>54</v>
      </c>
    </row>
    <row r="116" spans="1:15">
      <c r="A116" s="174"/>
      <c r="B116" s="174"/>
      <c r="C116" s="174"/>
      <c r="F116" s="191" t="s">
        <v>82</v>
      </c>
      <c r="G116" s="163" t="s">
        <v>80</v>
      </c>
      <c r="H116" s="163">
        <v>125</v>
      </c>
      <c r="I116" s="163">
        <v>115</v>
      </c>
      <c r="J116" s="163" t="s">
        <v>80</v>
      </c>
      <c r="K116" s="163" t="s">
        <v>80</v>
      </c>
      <c r="L116" s="163">
        <v>109</v>
      </c>
      <c r="M116" s="163">
        <v>99</v>
      </c>
      <c r="N116" s="163"/>
      <c r="O116" s="163">
        <v>84</v>
      </c>
    </row>
    <row r="117" spans="1:15">
      <c r="A117" s="174"/>
      <c r="B117" s="174"/>
      <c r="C117" s="174"/>
      <c r="F117" s="191" t="s">
        <v>83</v>
      </c>
      <c r="G117" s="163" t="s">
        <v>80</v>
      </c>
      <c r="H117" s="163" t="s">
        <v>80</v>
      </c>
      <c r="I117" s="163">
        <v>133</v>
      </c>
      <c r="J117" s="163" t="s">
        <v>80</v>
      </c>
      <c r="K117" s="163" t="s">
        <v>80</v>
      </c>
      <c r="L117" s="163">
        <v>117</v>
      </c>
      <c r="M117" s="163">
        <v>107</v>
      </c>
      <c r="N117" s="163"/>
      <c r="O117" s="163">
        <v>92</v>
      </c>
    </row>
    <row r="118" spans="1:15">
      <c r="A118" s="174"/>
      <c r="B118" s="174"/>
      <c r="C118" s="174"/>
    </row>
    <row r="119" spans="1:15">
      <c r="A119" s="174"/>
      <c r="B119" s="174"/>
      <c r="C119" s="174"/>
    </row>
    <row r="120" spans="1:15">
      <c r="A120" s="174"/>
      <c r="B120" s="174"/>
      <c r="C120" s="174"/>
      <c r="F120" s="181"/>
      <c r="G120" s="237" t="s">
        <v>27</v>
      </c>
      <c r="H120" s="237"/>
      <c r="I120" s="237"/>
      <c r="J120" s="237"/>
      <c r="K120" s="237"/>
      <c r="L120" s="237"/>
      <c r="M120" s="237"/>
      <c r="N120" s="237"/>
      <c r="O120" s="237"/>
    </row>
    <row r="121" spans="1:15">
      <c r="A121" s="174"/>
      <c r="B121" s="174"/>
      <c r="C121" s="174"/>
      <c r="F121" s="181"/>
      <c r="G121" s="189" t="s">
        <v>0</v>
      </c>
      <c r="H121" s="189" t="s">
        <v>1</v>
      </c>
      <c r="I121" s="189" t="s">
        <v>2</v>
      </c>
      <c r="J121" s="189" t="s">
        <v>3</v>
      </c>
      <c r="K121" s="189" t="s">
        <v>4</v>
      </c>
      <c r="L121" s="189" t="s">
        <v>5</v>
      </c>
      <c r="M121" s="189" t="s">
        <v>6</v>
      </c>
      <c r="N121" s="189"/>
      <c r="O121" s="181" t="s">
        <v>7</v>
      </c>
    </row>
    <row r="122" spans="1:15">
      <c r="A122" s="174"/>
      <c r="B122" s="174"/>
      <c r="C122" s="174"/>
      <c r="F122" s="180" t="s">
        <v>78</v>
      </c>
      <c r="G122" s="180" t="s">
        <v>79</v>
      </c>
      <c r="H122" s="180" t="s">
        <v>79</v>
      </c>
      <c r="I122" s="180" t="s">
        <v>79</v>
      </c>
      <c r="J122" s="180" t="s">
        <v>79</v>
      </c>
      <c r="K122" s="180" t="s">
        <v>79</v>
      </c>
      <c r="L122" s="180" t="s">
        <v>79</v>
      </c>
      <c r="M122" s="180" t="s">
        <v>79</v>
      </c>
      <c r="N122" s="180"/>
      <c r="O122" s="180" t="s">
        <v>79</v>
      </c>
    </row>
    <row r="123" spans="1:15">
      <c r="A123" s="174"/>
      <c r="B123" s="174"/>
      <c r="C123" s="174"/>
      <c r="F123" s="191" t="s">
        <v>8</v>
      </c>
      <c r="G123" s="163">
        <v>57</v>
      </c>
      <c r="H123" s="163">
        <v>66</v>
      </c>
      <c r="I123" s="163">
        <v>62</v>
      </c>
      <c r="J123" s="163">
        <v>57</v>
      </c>
      <c r="K123" s="163">
        <v>50</v>
      </c>
      <c r="L123" s="163">
        <v>56</v>
      </c>
      <c r="M123" s="163">
        <v>63</v>
      </c>
      <c r="N123" s="163"/>
      <c r="O123" s="163">
        <v>40</v>
      </c>
    </row>
    <row r="124" spans="1:15">
      <c r="A124" s="174"/>
      <c r="B124" s="174"/>
      <c r="C124" s="174"/>
      <c r="F124" s="191" t="s">
        <v>9</v>
      </c>
      <c r="G124" s="163">
        <v>68</v>
      </c>
      <c r="H124" s="163">
        <v>77</v>
      </c>
      <c r="I124" s="163">
        <v>71</v>
      </c>
      <c r="J124" s="163" t="s">
        <v>80</v>
      </c>
      <c r="K124" s="163">
        <v>61</v>
      </c>
      <c r="L124" s="163">
        <v>64</v>
      </c>
      <c r="M124" s="163">
        <v>66</v>
      </c>
      <c r="N124" s="163"/>
      <c r="O124" s="163">
        <v>44</v>
      </c>
    </row>
    <row r="125" spans="1:15">
      <c r="A125" s="174"/>
      <c r="B125" s="174"/>
      <c r="C125" s="174"/>
      <c r="F125" s="191" t="s">
        <v>81</v>
      </c>
      <c r="G125" s="163" t="s">
        <v>80</v>
      </c>
      <c r="H125" s="163">
        <v>90</v>
      </c>
      <c r="I125" s="163">
        <v>81</v>
      </c>
      <c r="J125" s="163" t="s">
        <v>80</v>
      </c>
      <c r="K125" s="163" t="s">
        <v>80</v>
      </c>
      <c r="L125" s="163">
        <v>75</v>
      </c>
      <c r="M125" s="163">
        <v>68</v>
      </c>
      <c r="N125" s="163"/>
      <c r="O125" s="163">
        <v>54</v>
      </c>
    </row>
    <row r="126" spans="1:15">
      <c r="A126" s="174"/>
      <c r="B126" s="174"/>
      <c r="C126" s="174"/>
      <c r="F126" s="191" t="s">
        <v>82</v>
      </c>
      <c r="G126" s="163" t="s">
        <v>80</v>
      </c>
      <c r="H126" s="163">
        <v>125</v>
      </c>
      <c r="I126" s="163">
        <v>115</v>
      </c>
      <c r="J126" s="163" t="s">
        <v>80</v>
      </c>
      <c r="K126" s="163" t="s">
        <v>80</v>
      </c>
      <c r="L126" s="163">
        <v>109</v>
      </c>
      <c r="M126" s="163">
        <v>99</v>
      </c>
      <c r="N126" s="163"/>
      <c r="O126" s="163">
        <v>84</v>
      </c>
    </row>
    <row r="127" spans="1:15">
      <c r="A127" s="174"/>
      <c r="B127" s="174"/>
      <c r="C127" s="174"/>
      <c r="F127" s="191" t="s">
        <v>83</v>
      </c>
      <c r="G127" s="163" t="s">
        <v>80</v>
      </c>
      <c r="H127" s="163" t="s">
        <v>80</v>
      </c>
      <c r="I127" s="163">
        <v>133</v>
      </c>
      <c r="J127" s="163" t="s">
        <v>80</v>
      </c>
      <c r="K127" s="163" t="s">
        <v>80</v>
      </c>
      <c r="L127" s="163">
        <v>117</v>
      </c>
      <c r="M127" s="163">
        <v>107</v>
      </c>
      <c r="N127" s="163"/>
      <c r="O127" s="163">
        <v>92</v>
      </c>
    </row>
    <row r="128" spans="1:15">
      <c r="A128" s="174"/>
      <c r="B128" s="174"/>
      <c r="C128" s="174"/>
    </row>
    <row r="129" spans="1:15">
      <c r="A129" s="174"/>
      <c r="B129" s="174"/>
      <c r="C129" s="174"/>
    </row>
    <row r="130" spans="1:15">
      <c r="A130" s="174"/>
      <c r="B130" s="174"/>
      <c r="C130" s="174"/>
      <c r="F130" s="181"/>
      <c r="G130" s="237" t="s">
        <v>29</v>
      </c>
      <c r="H130" s="237"/>
      <c r="I130" s="237"/>
      <c r="J130" s="237"/>
      <c r="K130" s="237"/>
      <c r="L130" s="237"/>
      <c r="M130" s="237"/>
      <c r="N130" s="237"/>
      <c r="O130" s="237"/>
    </row>
    <row r="131" spans="1:15">
      <c r="A131" s="174"/>
      <c r="B131" s="174"/>
      <c r="C131" s="174"/>
      <c r="F131" s="181"/>
      <c r="G131" s="189" t="s">
        <v>0</v>
      </c>
      <c r="H131" s="189" t="s">
        <v>1</v>
      </c>
      <c r="I131" s="189" t="s">
        <v>2</v>
      </c>
      <c r="J131" s="189" t="s">
        <v>3</v>
      </c>
      <c r="K131" s="189" t="s">
        <v>4</v>
      </c>
      <c r="L131" s="189" t="s">
        <v>5</v>
      </c>
      <c r="M131" s="189" t="s">
        <v>6</v>
      </c>
      <c r="N131" s="189"/>
      <c r="O131" s="181" t="s">
        <v>7</v>
      </c>
    </row>
    <row r="132" spans="1:15">
      <c r="A132" s="174"/>
      <c r="B132" s="174"/>
      <c r="C132" s="174"/>
      <c r="F132" s="180" t="s">
        <v>78</v>
      </c>
      <c r="G132" s="180" t="s">
        <v>79</v>
      </c>
      <c r="H132" s="180" t="s">
        <v>79</v>
      </c>
      <c r="I132" s="180" t="s">
        <v>79</v>
      </c>
      <c r="J132" s="180" t="s">
        <v>79</v>
      </c>
      <c r="K132" s="180" t="s">
        <v>79</v>
      </c>
      <c r="L132" s="180" t="s">
        <v>79</v>
      </c>
      <c r="M132" s="180" t="s">
        <v>79</v>
      </c>
      <c r="N132" s="180"/>
      <c r="O132" s="180" t="s">
        <v>79</v>
      </c>
    </row>
    <row r="133" spans="1:15">
      <c r="A133" s="174"/>
      <c r="B133" s="174"/>
      <c r="C133" s="174"/>
      <c r="F133" s="191" t="s">
        <v>8</v>
      </c>
      <c r="G133" s="163">
        <v>57</v>
      </c>
      <c r="H133" s="163">
        <v>66</v>
      </c>
      <c r="I133" s="163">
        <v>62</v>
      </c>
      <c r="J133" s="163">
        <v>57</v>
      </c>
      <c r="K133" s="163">
        <v>50</v>
      </c>
      <c r="L133" s="163">
        <v>56</v>
      </c>
      <c r="M133" s="163">
        <v>63</v>
      </c>
      <c r="N133" s="163"/>
      <c r="O133" s="163">
        <v>40</v>
      </c>
    </row>
    <row r="134" spans="1:15">
      <c r="A134" s="174"/>
      <c r="B134" s="174"/>
      <c r="C134" s="174"/>
      <c r="F134" s="191" t="s">
        <v>9</v>
      </c>
      <c r="G134" s="163">
        <v>68</v>
      </c>
      <c r="H134" s="163">
        <v>77</v>
      </c>
      <c r="I134" s="163">
        <v>71</v>
      </c>
      <c r="J134" s="163" t="s">
        <v>80</v>
      </c>
      <c r="K134" s="163">
        <v>61</v>
      </c>
      <c r="L134" s="163">
        <v>64</v>
      </c>
      <c r="M134" s="163">
        <v>66</v>
      </c>
      <c r="N134" s="163"/>
      <c r="O134" s="163">
        <v>44</v>
      </c>
    </row>
    <row r="135" spans="1:15">
      <c r="A135" s="174"/>
      <c r="B135" s="174"/>
      <c r="C135" s="174"/>
      <c r="F135" s="191" t="s">
        <v>81</v>
      </c>
      <c r="G135" s="163" t="s">
        <v>80</v>
      </c>
      <c r="H135" s="163">
        <v>90</v>
      </c>
      <c r="I135" s="163">
        <v>81</v>
      </c>
      <c r="J135" s="163" t="s">
        <v>80</v>
      </c>
      <c r="K135" s="163" t="s">
        <v>80</v>
      </c>
      <c r="L135" s="163">
        <v>75</v>
      </c>
      <c r="M135" s="163">
        <v>68</v>
      </c>
      <c r="N135" s="163"/>
      <c r="O135" s="163">
        <v>54</v>
      </c>
    </row>
    <row r="136" spans="1:15">
      <c r="A136" s="174"/>
      <c r="B136" s="174"/>
      <c r="C136" s="174"/>
      <c r="F136" s="191" t="s">
        <v>82</v>
      </c>
      <c r="G136" s="163" t="s">
        <v>80</v>
      </c>
      <c r="H136" s="163">
        <v>125</v>
      </c>
      <c r="I136" s="163">
        <v>115</v>
      </c>
      <c r="J136" s="163" t="s">
        <v>80</v>
      </c>
      <c r="K136" s="163" t="s">
        <v>80</v>
      </c>
      <c r="L136" s="163">
        <v>109</v>
      </c>
      <c r="M136" s="163">
        <v>99</v>
      </c>
      <c r="N136" s="163"/>
      <c r="O136" s="163">
        <v>84</v>
      </c>
    </row>
    <row r="137" spans="1:15">
      <c r="A137" s="174"/>
      <c r="B137" s="174"/>
      <c r="C137" s="174"/>
      <c r="F137" s="191" t="s">
        <v>83</v>
      </c>
      <c r="G137" s="163" t="s">
        <v>80</v>
      </c>
      <c r="H137" s="163" t="s">
        <v>80</v>
      </c>
      <c r="I137" s="163">
        <v>133</v>
      </c>
      <c r="J137" s="163" t="s">
        <v>80</v>
      </c>
      <c r="K137" s="163" t="s">
        <v>80</v>
      </c>
      <c r="L137" s="163">
        <v>117</v>
      </c>
      <c r="M137" s="163">
        <v>107</v>
      </c>
      <c r="N137" s="163"/>
      <c r="O137" s="163">
        <v>92</v>
      </c>
    </row>
    <row r="138" spans="1:15">
      <c r="A138" s="174"/>
      <c r="B138" s="174"/>
      <c r="C138" s="174"/>
    </row>
    <row r="139" spans="1:15">
      <c r="A139" s="174"/>
      <c r="B139" s="174"/>
      <c r="C139" s="174"/>
    </row>
    <row r="140" spans="1:15">
      <c r="A140" s="174"/>
      <c r="B140" s="174"/>
      <c r="C140" s="174"/>
      <c r="F140" s="181"/>
      <c r="G140" s="237" t="s">
        <v>31</v>
      </c>
      <c r="H140" s="237"/>
      <c r="I140" s="237"/>
      <c r="J140" s="237"/>
      <c r="K140" s="237"/>
      <c r="L140" s="237"/>
      <c r="M140" s="237"/>
      <c r="N140" s="237"/>
      <c r="O140" s="237"/>
    </row>
    <row r="141" spans="1:15">
      <c r="A141" s="174"/>
      <c r="B141" s="174"/>
      <c r="C141" s="174"/>
      <c r="F141" s="181"/>
      <c r="G141" s="189" t="s">
        <v>0</v>
      </c>
      <c r="H141" s="189" t="s">
        <v>1</v>
      </c>
      <c r="I141" s="189" t="s">
        <v>2</v>
      </c>
      <c r="J141" s="189" t="s">
        <v>3</v>
      </c>
      <c r="K141" s="189" t="s">
        <v>4</v>
      </c>
      <c r="L141" s="189" t="s">
        <v>5</v>
      </c>
      <c r="M141" s="189" t="s">
        <v>6</v>
      </c>
      <c r="N141" s="189"/>
      <c r="O141" s="181" t="s">
        <v>7</v>
      </c>
    </row>
    <row r="142" spans="1:15">
      <c r="A142" s="174"/>
      <c r="B142" s="174"/>
      <c r="C142" s="174"/>
      <c r="F142" s="180" t="s">
        <v>78</v>
      </c>
      <c r="G142" s="180" t="s">
        <v>79</v>
      </c>
      <c r="H142" s="180" t="s">
        <v>79</v>
      </c>
      <c r="I142" s="180" t="s">
        <v>79</v>
      </c>
      <c r="J142" s="180" t="s">
        <v>79</v>
      </c>
      <c r="K142" s="180" t="s">
        <v>79</v>
      </c>
      <c r="L142" s="180" t="s">
        <v>79</v>
      </c>
      <c r="M142" s="180" t="s">
        <v>79</v>
      </c>
      <c r="N142" s="180"/>
      <c r="O142" s="180" t="s">
        <v>79</v>
      </c>
    </row>
    <row r="143" spans="1:15">
      <c r="A143" s="174"/>
      <c r="B143" s="174"/>
      <c r="C143" s="174"/>
      <c r="F143" s="191" t="s">
        <v>8</v>
      </c>
      <c r="G143" s="163">
        <v>57</v>
      </c>
      <c r="H143" s="163">
        <v>66</v>
      </c>
      <c r="I143" s="163">
        <v>62</v>
      </c>
      <c r="J143" s="163">
        <v>57</v>
      </c>
      <c r="K143" s="163">
        <v>50</v>
      </c>
      <c r="L143" s="163">
        <v>56</v>
      </c>
      <c r="M143" s="163">
        <v>63</v>
      </c>
      <c r="N143" s="163"/>
      <c r="O143" s="163">
        <v>40</v>
      </c>
    </row>
    <row r="144" spans="1:15">
      <c r="A144" s="174"/>
      <c r="B144" s="174"/>
      <c r="C144" s="174"/>
      <c r="F144" s="191" t="s">
        <v>9</v>
      </c>
      <c r="G144" s="163">
        <v>68</v>
      </c>
      <c r="H144" s="163">
        <v>77</v>
      </c>
      <c r="I144" s="163">
        <v>71</v>
      </c>
      <c r="J144" s="163" t="s">
        <v>80</v>
      </c>
      <c r="K144" s="163">
        <v>61</v>
      </c>
      <c r="L144" s="163">
        <v>64</v>
      </c>
      <c r="M144" s="163">
        <v>66</v>
      </c>
      <c r="N144" s="163"/>
      <c r="O144" s="163">
        <v>44</v>
      </c>
    </row>
    <row r="145" spans="1:15">
      <c r="A145" s="174"/>
      <c r="B145" s="174"/>
      <c r="C145" s="174"/>
      <c r="F145" s="191" t="s">
        <v>81</v>
      </c>
      <c r="G145" s="163" t="s">
        <v>80</v>
      </c>
      <c r="H145" s="163">
        <v>90</v>
      </c>
      <c r="I145" s="163">
        <v>81</v>
      </c>
      <c r="J145" s="163" t="s">
        <v>80</v>
      </c>
      <c r="K145" s="163" t="s">
        <v>80</v>
      </c>
      <c r="L145" s="163">
        <v>75</v>
      </c>
      <c r="M145" s="163">
        <v>68</v>
      </c>
      <c r="N145" s="163"/>
      <c r="O145" s="163">
        <v>54</v>
      </c>
    </row>
    <row r="146" spans="1:15">
      <c r="A146" s="174"/>
      <c r="B146" s="174"/>
      <c r="C146" s="174"/>
      <c r="F146" s="191" t="s">
        <v>82</v>
      </c>
      <c r="G146" s="163" t="s">
        <v>80</v>
      </c>
      <c r="H146" s="163">
        <v>125</v>
      </c>
      <c r="I146" s="163">
        <v>115</v>
      </c>
      <c r="J146" s="163" t="s">
        <v>80</v>
      </c>
      <c r="K146" s="163" t="s">
        <v>80</v>
      </c>
      <c r="L146" s="163">
        <v>109</v>
      </c>
      <c r="M146" s="163">
        <v>99</v>
      </c>
      <c r="N146" s="163"/>
      <c r="O146" s="163">
        <v>84</v>
      </c>
    </row>
    <row r="147" spans="1:15">
      <c r="A147" s="174"/>
      <c r="B147" s="174"/>
      <c r="C147" s="174"/>
      <c r="F147" s="191" t="s">
        <v>83</v>
      </c>
      <c r="G147" s="163" t="s">
        <v>80</v>
      </c>
      <c r="H147" s="163" t="s">
        <v>80</v>
      </c>
      <c r="I147" s="163">
        <v>133</v>
      </c>
      <c r="J147" s="163" t="s">
        <v>80</v>
      </c>
      <c r="K147" s="163" t="s">
        <v>80</v>
      </c>
      <c r="L147" s="163">
        <v>117</v>
      </c>
      <c r="M147" s="163">
        <v>107</v>
      </c>
      <c r="N147" s="163"/>
      <c r="O147" s="163">
        <v>92</v>
      </c>
    </row>
    <row r="148" spans="1:15">
      <c r="A148" s="174"/>
      <c r="B148" s="174"/>
      <c r="C148" s="174"/>
    </row>
    <row r="149" spans="1:15">
      <c r="A149" s="174"/>
      <c r="B149" s="174"/>
      <c r="C149" s="174"/>
    </row>
    <row r="150" spans="1:15">
      <c r="A150" s="174"/>
      <c r="B150" s="174"/>
      <c r="C150" s="174"/>
    </row>
    <row r="151" spans="1:15">
      <c r="A151" s="174"/>
      <c r="B151" s="174"/>
      <c r="C151" s="174"/>
    </row>
    <row r="152" spans="1:15">
      <c r="A152" s="174"/>
      <c r="B152" s="174"/>
      <c r="C152" s="174"/>
    </row>
    <row r="153" spans="1:15">
      <c r="A153" s="174"/>
      <c r="B153" s="174"/>
      <c r="C153" s="174"/>
    </row>
    <row r="154" spans="1:15">
      <c r="A154" s="174"/>
      <c r="B154" s="174"/>
      <c r="C154" s="174"/>
    </row>
    <row r="155" spans="1:15">
      <c r="A155" s="174"/>
      <c r="B155" s="174"/>
      <c r="C155" s="174"/>
    </row>
    <row r="156" spans="1:15">
      <c r="A156" s="174"/>
      <c r="B156" s="174"/>
      <c r="C156" s="174"/>
    </row>
    <row r="157" spans="1:15">
      <c r="A157" s="174"/>
      <c r="B157" s="174"/>
      <c r="C157" s="174"/>
    </row>
    <row r="158" spans="1:15">
      <c r="A158" s="174"/>
      <c r="B158" s="174"/>
      <c r="C158" s="174"/>
    </row>
    <row r="159" spans="1:15">
      <c r="A159" s="174"/>
      <c r="B159" s="174"/>
      <c r="C159" s="174"/>
    </row>
    <row r="160" spans="1:15">
      <c r="A160" s="174"/>
      <c r="B160" s="174"/>
      <c r="C160" s="174"/>
    </row>
    <row r="161" spans="1:3">
      <c r="A161" s="174"/>
      <c r="B161" s="174"/>
      <c r="C161" s="174"/>
    </row>
    <row r="162" spans="1:3">
      <c r="A162" s="174"/>
      <c r="B162" s="174"/>
      <c r="C162" s="174"/>
    </row>
    <row r="163" spans="1:3">
      <c r="A163" s="174"/>
      <c r="B163" s="174"/>
      <c r="C163" s="174"/>
    </row>
    <row r="164" spans="1:3">
      <c r="A164" s="174"/>
      <c r="B164" s="174"/>
      <c r="C164" s="174"/>
    </row>
    <row r="165" spans="1:3">
      <c r="A165" s="174"/>
      <c r="B165" s="174"/>
      <c r="C165" s="174"/>
    </row>
    <row r="166" spans="1:3">
      <c r="A166" s="174"/>
      <c r="B166" s="174"/>
      <c r="C166" s="174"/>
    </row>
    <row r="167" spans="1:3">
      <c r="A167" s="174"/>
      <c r="B167" s="174"/>
      <c r="C167" s="174"/>
    </row>
    <row r="168" spans="1:3">
      <c r="A168" s="174"/>
      <c r="B168" s="174"/>
      <c r="C168" s="174"/>
    </row>
    <row r="169" spans="1:3">
      <c r="A169" s="174"/>
      <c r="B169" s="174"/>
      <c r="C169" s="174"/>
    </row>
    <row r="170" spans="1:3">
      <c r="A170" s="174"/>
      <c r="B170" s="174"/>
      <c r="C170" s="174"/>
    </row>
    <row r="171" spans="1:3">
      <c r="A171" s="174"/>
      <c r="B171" s="174"/>
      <c r="C171" s="174"/>
    </row>
    <row r="172" spans="1:3">
      <c r="A172" s="174"/>
      <c r="B172" s="174"/>
      <c r="C172" s="174"/>
    </row>
    <row r="173" spans="1:3">
      <c r="A173" s="174"/>
      <c r="B173" s="174"/>
      <c r="C173" s="174"/>
    </row>
    <row r="174" spans="1:3">
      <c r="A174" s="174"/>
      <c r="B174" s="174"/>
      <c r="C174" s="174"/>
    </row>
    <row r="175" spans="1:3">
      <c r="A175" s="174"/>
      <c r="B175" s="174"/>
      <c r="C175" s="174"/>
    </row>
    <row r="176" spans="1:3">
      <c r="A176" s="174"/>
      <c r="B176" s="174"/>
      <c r="C176" s="174"/>
    </row>
    <row r="177" spans="1:3">
      <c r="A177" s="174"/>
      <c r="B177" s="174"/>
      <c r="C177" s="174"/>
    </row>
    <row r="178" spans="1:3">
      <c r="A178" s="174"/>
      <c r="B178" s="174"/>
      <c r="C178" s="174"/>
    </row>
    <row r="179" spans="1:3">
      <c r="A179" s="174"/>
      <c r="B179" s="174"/>
      <c r="C179" s="174"/>
    </row>
    <row r="180" spans="1:3">
      <c r="A180" s="174"/>
      <c r="B180" s="174"/>
      <c r="C180" s="174"/>
    </row>
    <row r="181" spans="1:3">
      <c r="A181" s="174"/>
      <c r="B181" s="174"/>
      <c r="C181" s="174"/>
    </row>
    <row r="182" spans="1:3">
      <c r="A182" s="174"/>
      <c r="B182" s="174"/>
      <c r="C182" s="174"/>
    </row>
    <row r="183" spans="1:3">
      <c r="A183" s="174"/>
      <c r="B183" s="174"/>
      <c r="C183" s="174"/>
    </row>
    <row r="184" spans="1:3">
      <c r="A184" s="174"/>
      <c r="B184" s="174"/>
      <c r="C184" s="174"/>
    </row>
    <row r="185" spans="1:3">
      <c r="A185" s="174"/>
      <c r="B185" s="174"/>
      <c r="C185" s="174"/>
    </row>
    <row r="186" spans="1:3">
      <c r="A186" s="174"/>
      <c r="B186" s="174"/>
      <c r="C186" s="174"/>
    </row>
    <row r="187" spans="1:3">
      <c r="A187" s="174"/>
      <c r="B187" s="174"/>
      <c r="C187" s="174"/>
    </row>
    <row r="188" spans="1:3">
      <c r="A188" s="174"/>
      <c r="B188" s="174"/>
      <c r="C188" s="174"/>
    </row>
    <row r="189" spans="1:3">
      <c r="A189" s="174"/>
      <c r="B189" s="174"/>
      <c r="C189" s="174"/>
    </row>
    <row r="190" spans="1:3">
      <c r="A190" s="174"/>
      <c r="B190" s="174"/>
      <c r="C190" s="174"/>
    </row>
    <row r="191" spans="1:3">
      <c r="A191" s="174"/>
      <c r="B191" s="174"/>
      <c r="C191" s="174"/>
    </row>
    <row r="192" spans="1:3">
      <c r="A192" s="174"/>
      <c r="B192" s="174"/>
      <c r="C192" s="174"/>
    </row>
    <row r="193" spans="1:3">
      <c r="A193" s="174"/>
      <c r="B193" s="174"/>
      <c r="C193" s="174"/>
    </row>
    <row r="194" spans="1:3">
      <c r="A194" s="174"/>
      <c r="B194" s="174"/>
      <c r="C194" s="174"/>
    </row>
    <row r="195" spans="1:3">
      <c r="A195" s="174"/>
      <c r="B195" s="174"/>
      <c r="C195" s="174"/>
    </row>
    <row r="196" spans="1:3">
      <c r="A196" s="174"/>
      <c r="B196" s="174"/>
      <c r="C196" s="174"/>
    </row>
    <row r="197" spans="1:3">
      <c r="A197" s="174"/>
      <c r="B197" s="174"/>
      <c r="C197" s="174"/>
    </row>
    <row r="198" spans="1:3">
      <c r="A198" s="174"/>
      <c r="B198" s="174"/>
      <c r="C198" s="174"/>
    </row>
    <row r="199" spans="1:3">
      <c r="A199" s="174"/>
      <c r="B199" s="174"/>
      <c r="C199" s="174"/>
    </row>
    <row r="200" spans="1:3">
      <c r="A200" s="174"/>
      <c r="B200" s="174"/>
      <c r="C200" s="174"/>
    </row>
    <row r="201" spans="1:3">
      <c r="A201" s="174"/>
      <c r="B201" s="174"/>
      <c r="C201" s="174"/>
    </row>
    <row r="202" spans="1:3">
      <c r="A202" s="174"/>
      <c r="B202" s="174"/>
      <c r="C202" s="174"/>
    </row>
    <row r="203" spans="1:3">
      <c r="A203" s="174"/>
      <c r="B203" s="174"/>
      <c r="C203" s="174"/>
    </row>
    <row r="204" spans="1:3">
      <c r="A204" s="174"/>
      <c r="B204" s="174"/>
      <c r="C204" s="174"/>
    </row>
    <row r="205" spans="1:3">
      <c r="A205" s="174"/>
      <c r="B205" s="174"/>
      <c r="C205" s="174"/>
    </row>
    <row r="206" spans="1:3">
      <c r="A206" s="174"/>
      <c r="B206" s="174"/>
      <c r="C206" s="174"/>
    </row>
    <row r="207" spans="1:3">
      <c r="A207" s="174"/>
      <c r="B207" s="174"/>
      <c r="C207" s="174"/>
    </row>
    <row r="208" spans="1:3">
      <c r="A208" s="174"/>
      <c r="B208" s="174"/>
      <c r="C208" s="174"/>
    </row>
    <row r="209" spans="1:3">
      <c r="A209" s="174"/>
      <c r="B209" s="174"/>
      <c r="C209" s="174"/>
    </row>
    <row r="210" spans="1:3">
      <c r="A210" s="174"/>
      <c r="B210" s="174"/>
      <c r="C210" s="174"/>
    </row>
    <row r="211" spans="1:3">
      <c r="A211" s="174"/>
      <c r="B211" s="174"/>
      <c r="C211" s="174"/>
    </row>
    <row r="212" spans="1:3">
      <c r="A212" s="174"/>
      <c r="B212" s="174"/>
      <c r="C212" s="174"/>
    </row>
    <row r="213" spans="1:3">
      <c r="A213" s="174"/>
      <c r="B213" s="174"/>
      <c r="C213" s="174"/>
    </row>
    <row r="214" spans="1:3">
      <c r="A214" s="174"/>
      <c r="B214" s="174"/>
      <c r="C214" s="174"/>
    </row>
    <row r="215" spans="1:3">
      <c r="A215" s="174"/>
      <c r="B215" s="174"/>
      <c r="C215" s="174"/>
    </row>
    <row r="216" spans="1:3">
      <c r="A216" s="174"/>
      <c r="B216" s="174"/>
      <c r="C216" s="174"/>
    </row>
    <row r="217" spans="1:3">
      <c r="A217" s="174"/>
      <c r="B217" s="174"/>
      <c r="C217" s="174"/>
    </row>
    <row r="218" spans="1:3">
      <c r="A218" s="174"/>
      <c r="B218" s="174"/>
      <c r="C218" s="174"/>
    </row>
    <row r="219" spans="1:3">
      <c r="A219" s="174"/>
      <c r="B219" s="174"/>
      <c r="C219" s="174"/>
    </row>
    <row r="220" spans="1:3">
      <c r="A220" s="174"/>
      <c r="B220" s="174"/>
      <c r="C220" s="174"/>
    </row>
    <row r="221" spans="1:3">
      <c r="A221" s="174"/>
      <c r="B221" s="174"/>
      <c r="C221" s="174"/>
    </row>
    <row r="222" spans="1:3">
      <c r="A222" s="174"/>
      <c r="B222" s="174"/>
      <c r="C222" s="174"/>
    </row>
    <row r="223" spans="1:3">
      <c r="A223" s="174"/>
      <c r="B223" s="174"/>
      <c r="C223" s="174"/>
    </row>
    <row r="224" spans="1:3">
      <c r="A224" s="174"/>
      <c r="B224" s="174"/>
      <c r="C224" s="174"/>
    </row>
    <row r="225" spans="1:3">
      <c r="A225" s="174"/>
      <c r="B225" s="174"/>
      <c r="C225" s="174"/>
    </row>
    <row r="226" spans="1:3">
      <c r="A226" s="174"/>
      <c r="B226" s="174"/>
      <c r="C226" s="174"/>
    </row>
    <row r="227" spans="1:3">
      <c r="A227" s="174"/>
      <c r="B227" s="174"/>
      <c r="C227" s="174"/>
    </row>
    <row r="228" spans="1:3">
      <c r="A228" s="174"/>
      <c r="B228" s="174"/>
      <c r="C228" s="174"/>
    </row>
    <row r="229" spans="1:3">
      <c r="A229" s="174"/>
      <c r="B229" s="174"/>
      <c r="C229" s="174"/>
    </row>
    <row r="230" spans="1:3">
      <c r="A230" s="174"/>
      <c r="B230" s="174"/>
      <c r="C230" s="174"/>
    </row>
    <row r="231" spans="1:3">
      <c r="A231" s="174"/>
      <c r="B231" s="174"/>
      <c r="C231" s="174"/>
    </row>
    <row r="232" spans="1:3">
      <c r="A232" s="174"/>
      <c r="B232" s="174"/>
      <c r="C232" s="174"/>
    </row>
    <row r="233" spans="1:3">
      <c r="A233" s="174"/>
      <c r="B233" s="174"/>
      <c r="C233" s="174"/>
    </row>
    <row r="234" spans="1:3">
      <c r="A234" s="174"/>
      <c r="B234" s="174"/>
      <c r="C234" s="174"/>
    </row>
    <row r="235" spans="1:3">
      <c r="A235" s="174"/>
      <c r="B235" s="174"/>
      <c r="C235" s="174"/>
    </row>
    <row r="236" spans="1:3">
      <c r="A236" s="174"/>
      <c r="B236" s="174"/>
      <c r="C236" s="174"/>
    </row>
    <row r="237" spans="1:3">
      <c r="A237" s="174"/>
      <c r="B237" s="174"/>
      <c r="C237" s="174"/>
    </row>
    <row r="238" spans="1:3">
      <c r="A238" s="174"/>
      <c r="B238" s="174"/>
      <c r="C238" s="174"/>
    </row>
    <row r="239" spans="1:3">
      <c r="A239" s="174"/>
      <c r="B239" s="174"/>
      <c r="C239" s="174"/>
    </row>
    <row r="240" spans="1:3">
      <c r="A240" s="174"/>
      <c r="B240" s="174"/>
      <c r="C240" s="174"/>
    </row>
    <row r="241" spans="1:3">
      <c r="A241" s="174"/>
      <c r="B241" s="174"/>
      <c r="C241" s="174"/>
    </row>
    <row r="242" spans="1:3">
      <c r="A242" s="174"/>
      <c r="B242" s="174"/>
      <c r="C242" s="174"/>
    </row>
    <row r="243" spans="1:3">
      <c r="A243" s="174"/>
      <c r="B243" s="174"/>
      <c r="C243" s="174"/>
    </row>
    <row r="244" spans="1:3">
      <c r="A244" s="174"/>
      <c r="B244" s="174"/>
      <c r="C244" s="174"/>
    </row>
    <row r="245" spans="1:3">
      <c r="A245" s="174"/>
      <c r="B245" s="174"/>
      <c r="C245" s="174"/>
    </row>
    <row r="246" spans="1:3">
      <c r="A246" s="174"/>
      <c r="B246" s="174"/>
      <c r="C246" s="174"/>
    </row>
    <row r="247" spans="1:3">
      <c r="A247" s="174"/>
      <c r="B247" s="174"/>
      <c r="C247" s="174"/>
    </row>
    <row r="248" spans="1:3">
      <c r="A248" s="174"/>
      <c r="B248" s="174"/>
      <c r="C248" s="174"/>
    </row>
    <row r="249" spans="1:3">
      <c r="A249" s="174"/>
      <c r="B249" s="174"/>
      <c r="C249" s="174"/>
    </row>
    <row r="250" spans="1:3">
      <c r="A250" s="174"/>
      <c r="B250" s="174"/>
      <c r="C250" s="174"/>
    </row>
    <row r="251" spans="1:3">
      <c r="A251" s="174"/>
      <c r="B251" s="174"/>
      <c r="C251" s="174"/>
    </row>
    <row r="252" spans="1:3">
      <c r="A252" s="174"/>
      <c r="B252" s="174"/>
      <c r="C252" s="174"/>
    </row>
    <row r="253" spans="1:3">
      <c r="A253" s="174"/>
      <c r="B253" s="174"/>
      <c r="C253" s="174"/>
    </row>
    <row r="254" spans="1:3">
      <c r="A254" s="174"/>
      <c r="B254" s="174"/>
      <c r="C254" s="174"/>
    </row>
    <row r="255" spans="1:3">
      <c r="A255" s="174"/>
      <c r="B255" s="174"/>
      <c r="C255" s="174"/>
    </row>
    <row r="256" spans="1:3">
      <c r="A256" s="174"/>
      <c r="B256" s="174"/>
      <c r="C256" s="174"/>
    </row>
    <row r="257" spans="1:3">
      <c r="A257" s="174"/>
      <c r="B257" s="174"/>
      <c r="C257" s="174"/>
    </row>
    <row r="258" spans="1:3">
      <c r="A258" s="174"/>
      <c r="B258" s="174"/>
      <c r="C258" s="174"/>
    </row>
    <row r="259" spans="1:3">
      <c r="A259" s="174"/>
      <c r="B259" s="174"/>
      <c r="C259" s="174"/>
    </row>
    <row r="260" spans="1:3">
      <c r="A260" s="174"/>
      <c r="B260" s="174"/>
      <c r="C260" s="174"/>
    </row>
    <row r="261" spans="1:3">
      <c r="A261" s="174"/>
      <c r="B261" s="174"/>
      <c r="C261" s="174"/>
    </row>
    <row r="262" spans="1:3">
      <c r="A262" s="174"/>
      <c r="B262" s="174"/>
      <c r="C262" s="174"/>
    </row>
    <row r="263" spans="1:3">
      <c r="A263" s="174"/>
      <c r="B263" s="174"/>
      <c r="C263" s="174"/>
    </row>
    <row r="264" spans="1:3">
      <c r="A264" s="174"/>
      <c r="B264" s="174"/>
      <c r="C264" s="174"/>
    </row>
    <row r="265" spans="1:3">
      <c r="A265" s="174"/>
      <c r="B265" s="174"/>
      <c r="C265" s="174"/>
    </row>
    <row r="266" spans="1:3">
      <c r="A266" s="174"/>
      <c r="B266" s="174"/>
      <c r="C266" s="174"/>
    </row>
    <row r="267" spans="1:3">
      <c r="A267" s="174"/>
      <c r="B267" s="174"/>
      <c r="C267" s="174"/>
    </row>
    <row r="268" spans="1:3">
      <c r="A268" s="174"/>
      <c r="B268" s="174"/>
      <c r="C268" s="174"/>
    </row>
    <row r="269" spans="1:3">
      <c r="A269" s="174"/>
      <c r="B269" s="174"/>
      <c r="C269" s="174"/>
    </row>
    <row r="270" spans="1:3">
      <c r="A270" s="174"/>
      <c r="B270" s="174"/>
      <c r="C270" s="174"/>
    </row>
    <row r="271" spans="1:3">
      <c r="A271" s="174"/>
      <c r="B271" s="174"/>
      <c r="C271" s="174"/>
    </row>
    <row r="272" spans="1:3">
      <c r="A272" s="174"/>
      <c r="B272" s="174"/>
      <c r="C272" s="174"/>
    </row>
    <row r="273" spans="1:3">
      <c r="A273" s="174"/>
      <c r="B273" s="174"/>
      <c r="C273" s="174"/>
    </row>
    <row r="274" spans="1:3">
      <c r="A274" s="174"/>
      <c r="B274" s="174"/>
      <c r="C274" s="174"/>
    </row>
    <row r="275" spans="1:3">
      <c r="A275" s="174"/>
      <c r="B275" s="174"/>
      <c r="C275" s="174"/>
    </row>
    <row r="276" spans="1:3">
      <c r="A276" s="174"/>
      <c r="B276" s="174"/>
      <c r="C276" s="174"/>
    </row>
    <row r="277" spans="1:3">
      <c r="A277" s="174"/>
      <c r="B277" s="174"/>
      <c r="C277" s="174"/>
    </row>
    <row r="278" spans="1:3">
      <c r="A278" s="174"/>
      <c r="B278" s="174"/>
      <c r="C278" s="174"/>
    </row>
    <row r="279" spans="1:3">
      <c r="A279" s="174"/>
      <c r="B279" s="174"/>
      <c r="C279" s="174"/>
    </row>
    <row r="280" spans="1:3">
      <c r="A280" s="174"/>
      <c r="B280" s="174"/>
      <c r="C280" s="174"/>
    </row>
    <row r="281" spans="1:3">
      <c r="A281" s="174"/>
      <c r="B281" s="174"/>
      <c r="C281" s="174"/>
    </row>
    <row r="282" spans="1:3">
      <c r="A282" s="174"/>
      <c r="B282" s="174"/>
      <c r="C282" s="174"/>
    </row>
    <row r="283" spans="1:3">
      <c r="A283" s="174"/>
      <c r="B283" s="174"/>
      <c r="C283" s="174"/>
    </row>
    <row r="284" spans="1:3">
      <c r="A284" s="174"/>
      <c r="B284" s="174"/>
      <c r="C284" s="174"/>
    </row>
    <row r="285" spans="1:3">
      <c r="A285" s="174"/>
      <c r="B285" s="174"/>
      <c r="C285" s="174"/>
    </row>
    <row r="286" spans="1:3">
      <c r="A286" s="174"/>
      <c r="B286" s="174"/>
      <c r="C286" s="174"/>
    </row>
    <row r="287" spans="1:3">
      <c r="A287" s="174"/>
      <c r="B287" s="174"/>
      <c r="C287" s="174"/>
    </row>
    <row r="288" spans="1:3">
      <c r="A288" s="174"/>
      <c r="B288" s="174"/>
      <c r="C288" s="174"/>
    </row>
    <row r="289" spans="1:3">
      <c r="A289" s="174"/>
      <c r="B289" s="174"/>
      <c r="C289" s="174"/>
    </row>
    <row r="290" spans="1:3">
      <c r="A290" s="174"/>
      <c r="B290" s="174"/>
      <c r="C290" s="174"/>
    </row>
    <row r="291" spans="1:3">
      <c r="A291" s="174"/>
      <c r="B291" s="174"/>
      <c r="C291" s="174"/>
    </row>
    <row r="292" spans="1:3">
      <c r="A292" s="174"/>
      <c r="B292" s="174"/>
      <c r="C292" s="174"/>
    </row>
    <row r="293" spans="1:3">
      <c r="A293" s="174"/>
      <c r="B293" s="174"/>
      <c r="C293" s="174"/>
    </row>
    <row r="294" spans="1:3">
      <c r="A294" s="174"/>
      <c r="B294" s="174"/>
      <c r="C294" s="174"/>
    </row>
    <row r="295" spans="1:3">
      <c r="A295" s="174"/>
      <c r="B295" s="174"/>
      <c r="C295" s="174"/>
    </row>
    <row r="296" spans="1:3">
      <c r="A296" s="174"/>
      <c r="B296" s="174"/>
      <c r="C296" s="174"/>
    </row>
    <row r="297" spans="1:3">
      <c r="A297" s="174"/>
      <c r="B297" s="174"/>
      <c r="C297" s="174"/>
    </row>
    <row r="298" spans="1:3">
      <c r="A298" s="174"/>
      <c r="B298" s="174"/>
      <c r="C298" s="174"/>
    </row>
    <row r="299" spans="1:3">
      <c r="A299" s="174"/>
      <c r="B299" s="174"/>
      <c r="C299" s="174"/>
    </row>
    <row r="300" spans="1:3">
      <c r="A300" s="174"/>
      <c r="B300" s="174"/>
      <c r="C300" s="174"/>
    </row>
    <row r="301" spans="1:3">
      <c r="A301" s="174"/>
      <c r="B301" s="174"/>
      <c r="C301" s="174"/>
    </row>
    <row r="302" spans="1:3">
      <c r="A302" s="174"/>
      <c r="B302" s="174"/>
      <c r="C302" s="174"/>
    </row>
    <row r="303" spans="1:3">
      <c r="A303" s="174"/>
      <c r="B303" s="174"/>
      <c r="C303" s="174"/>
    </row>
    <row r="304" spans="1:3">
      <c r="A304" s="174"/>
      <c r="B304" s="174"/>
      <c r="C304" s="174"/>
    </row>
    <row r="305" spans="1:3">
      <c r="A305" s="174"/>
      <c r="B305" s="174"/>
      <c r="C305" s="174"/>
    </row>
    <row r="306" spans="1:3">
      <c r="A306" s="174"/>
      <c r="B306" s="174"/>
      <c r="C306" s="174"/>
    </row>
    <row r="307" spans="1:3">
      <c r="A307" s="174"/>
      <c r="B307" s="174"/>
      <c r="C307" s="174"/>
    </row>
    <row r="308" spans="1:3">
      <c r="A308" s="174"/>
      <c r="B308" s="174"/>
      <c r="C308" s="174"/>
    </row>
    <row r="309" spans="1:3">
      <c r="A309" s="174"/>
      <c r="B309" s="174"/>
      <c r="C309" s="174"/>
    </row>
    <row r="310" spans="1:3">
      <c r="A310" s="174"/>
      <c r="B310" s="174"/>
      <c r="C310" s="174"/>
    </row>
    <row r="311" spans="1:3">
      <c r="A311" s="174"/>
      <c r="B311" s="174"/>
      <c r="C311" s="174"/>
    </row>
    <row r="312" spans="1:3">
      <c r="A312" s="174"/>
      <c r="B312" s="174"/>
      <c r="C312" s="174"/>
    </row>
    <row r="313" spans="1:3">
      <c r="A313" s="174"/>
      <c r="B313" s="174"/>
      <c r="C313" s="174"/>
    </row>
    <row r="314" spans="1:3">
      <c r="A314" s="174"/>
      <c r="B314" s="174"/>
      <c r="C314" s="174"/>
    </row>
    <row r="315" spans="1:3">
      <c r="A315" s="174"/>
      <c r="B315" s="174"/>
      <c r="C315" s="174"/>
    </row>
    <row r="316" spans="1:3">
      <c r="A316" s="174"/>
      <c r="B316" s="174"/>
      <c r="C316" s="174"/>
    </row>
    <row r="317" spans="1:3">
      <c r="A317" s="174"/>
      <c r="B317" s="174"/>
      <c r="C317" s="174"/>
    </row>
    <row r="318" spans="1:3">
      <c r="A318" s="174"/>
      <c r="B318" s="174"/>
      <c r="C318" s="174"/>
    </row>
    <row r="319" spans="1:3">
      <c r="A319" s="174"/>
      <c r="B319" s="174"/>
      <c r="C319" s="174"/>
    </row>
    <row r="320" spans="1:3">
      <c r="A320" s="174"/>
      <c r="B320" s="174"/>
      <c r="C320" s="174"/>
    </row>
    <row r="321" spans="1:3">
      <c r="A321" s="174"/>
      <c r="B321" s="174"/>
      <c r="C321" s="174"/>
    </row>
    <row r="322" spans="1:3">
      <c r="A322" s="174"/>
      <c r="B322" s="174"/>
      <c r="C322" s="174"/>
    </row>
    <row r="323" spans="1:3">
      <c r="A323" s="174"/>
      <c r="B323" s="174"/>
      <c r="C323" s="174"/>
    </row>
    <row r="324" spans="1:3">
      <c r="A324" s="174"/>
      <c r="B324" s="174"/>
      <c r="C324" s="174"/>
    </row>
    <row r="325" spans="1:3">
      <c r="A325" s="174"/>
      <c r="B325" s="174"/>
      <c r="C325" s="174"/>
    </row>
    <row r="326" spans="1:3">
      <c r="A326" s="174"/>
      <c r="B326" s="174"/>
      <c r="C326" s="174"/>
    </row>
    <row r="327" spans="1:3">
      <c r="A327" s="174"/>
      <c r="B327" s="174"/>
      <c r="C327" s="174"/>
    </row>
    <row r="328" spans="1:3">
      <c r="A328" s="174"/>
      <c r="B328" s="174"/>
      <c r="C328" s="174"/>
    </row>
    <row r="329" spans="1:3">
      <c r="A329" s="174"/>
      <c r="B329" s="174"/>
      <c r="C329" s="174"/>
    </row>
    <row r="330" spans="1:3">
      <c r="A330" s="174"/>
      <c r="B330" s="174"/>
      <c r="C330" s="174"/>
    </row>
    <row r="331" spans="1:3">
      <c r="A331" s="174"/>
      <c r="B331" s="174"/>
      <c r="C331" s="174"/>
    </row>
    <row r="332" spans="1:3">
      <c r="A332" s="174"/>
      <c r="B332" s="174"/>
      <c r="C332" s="174"/>
    </row>
    <row r="333" spans="1:3">
      <c r="A333" s="174"/>
      <c r="B333" s="174"/>
      <c r="C333" s="174"/>
    </row>
    <row r="334" spans="1:3">
      <c r="A334" s="174"/>
      <c r="B334" s="174"/>
      <c r="C334" s="174"/>
    </row>
    <row r="335" spans="1:3">
      <c r="A335" s="174"/>
      <c r="B335" s="174"/>
      <c r="C335" s="174"/>
    </row>
    <row r="336" spans="1:3">
      <c r="A336" s="174"/>
      <c r="B336" s="174"/>
      <c r="C336" s="174"/>
    </row>
    <row r="337" spans="1:3">
      <c r="A337" s="174"/>
      <c r="B337" s="174"/>
      <c r="C337" s="174"/>
    </row>
    <row r="338" spans="1:3">
      <c r="A338" s="174"/>
      <c r="B338" s="174"/>
      <c r="C338" s="174"/>
    </row>
    <row r="339" spans="1:3">
      <c r="A339" s="174"/>
      <c r="B339" s="174"/>
      <c r="C339" s="174"/>
    </row>
    <row r="340" spans="1:3">
      <c r="A340" s="174"/>
      <c r="B340" s="174"/>
      <c r="C340" s="174"/>
    </row>
    <row r="341" spans="1:3">
      <c r="A341" s="174"/>
      <c r="B341" s="174"/>
      <c r="C341" s="174"/>
    </row>
    <row r="342" spans="1:3">
      <c r="A342" s="174"/>
      <c r="B342" s="174"/>
      <c r="C342" s="174"/>
    </row>
    <row r="343" spans="1:3">
      <c r="A343" s="174"/>
      <c r="B343" s="174"/>
      <c r="C343" s="174"/>
    </row>
    <row r="344" spans="1:3">
      <c r="A344" s="174"/>
      <c r="B344" s="174"/>
      <c r="C344" s="174"/>
    </row>
    <row r="345" spans="1:3">
      <c r="A345" s="174"/>
      <c r="B345" s="174"/>
      <c r="C345" s="174"/>
    </row>
    <row r="346" spans="1:3">
      <c r="A346" s="174"/>
      <c r="B346" s="174"/>
      <c r="C346" s="174"/>
    </row>
    <row r="347" spans="1:3">
      <c r="A347" s="174"/>
      <c r="B347" s="174"/>
      <c r="C347" s="174"/>
    </row>
    <row r="348" spans="1:3">
      <c r="A348" s="174"/>
      <c r="B348" s="174"/>
      <c r="C348" s="174"/>
    </row>
    <row r="349" spans="1:3">
      <c r="A349" s="174"/>
      <c r="B349" s="174"/>
      <c r="C349" s="174"/>
    </row>
    <row r="350" spans="1:3">
      <c r="A350" s="174"/>
      <c r="B350" s="174"/>
      <c r="C350" s="174"/>
    </row>
    <row r="351" spans="1:3">
      <c r="A351" s="174"/>
      <c r="B351" s="174"/>
      <c r="C351" s="174"/>
    </row>
    <row r="352" spans="1:3">
      <c r="A352" s="174"/>
      <c r="B352" s="174"/>
      <c r="C352" s="174"/>
    </row>
    <row r="353" spans="1:3">
      <c r="A353" s="174"/>
      <c r="B353" s="174"/>
      <c r="C353" s="174"/>
    </row>
    <row r="354" spans="1:3">
      <c r="A354" s="174"/>
      <c r="B354" s="174"/>
      <c r="C354" s="174"/>
    </row>
    <row r="355" spans="1:3">
      <c r="A355" s="174"/>
      <c r="B355" s="174"/>
      <c r="C355" s="174"/>
    </row>
    <row r="356" spans="1:3">
      <c r="A356" s="174"/>
      <c r="B356" s="174"/>
      <c r="C356" s="174"/>
    </row>
    <row r="357" spans="1:3">
      <c r="A357" s="174"/>
      <c r="B357" s="174"/>
      <c r="C357" s="174"/>
    </row>
    <row r="358" spans="1:3">
      <c r="A358" s="174"/>
      <c r="B358" s="174"/>
      <c r="C358" s="174"/>
    </row>
    <row r="359" spans="1:3">
      <c r="A359" s="174"/>
      <c r="B359" s="174"/>
      <c r="C359" s="174"/>
    </row>
    <row r="360" spans="1:3">
      <c r="A360" s="174"/>
      <c r="B360" s="174"/>
      <c r="C360" s="174"/>
    </row>
    <row r="361" spans="1:3">
      <c r="A361" s="174"/>
      <c r="B361" s="174"/>
      <c r="C361" s="174"/>
    </row>
    <row r="362" spans="1:3">
      <c r="A362" s="174"/>
      <c r="B362" s="174"/>
      <c r="C362" s="174"/>
    </row>
    <row r="363" spans="1:3">
      <c r="A363" s="174"/>
      <c r="B363" s="174"/>
      <c r="C363" s="174"/>
    </row>
    <row r="364" spans="1:3">
      <c r="A364" s="174"/>
      <c r="B364" s="174"/>
      <c r="C364" s="174"/>
    </row>
    <row r="365" spans="1:3">
      <c r="A365" s="174"/>
      <c r="B365" s="174"/>
      <c r="C365" s="174"/>
    </row>
    <row r="366" spans="1:3">
      <c r="A366" s="174"/>
      <c r="B366" s="174"/>
      <c r="C366" s="174"/>
    </row>
    <row r="367" spans="1:3">
      <c r="A367" s="174"/>
      <c r="B367" s="174"/>
      <c r="C367" s="174"/>
    </row>
    <row r="368" spans="1:3">
      <c r="A368" s="174"/>
      <c r="B368" s="174"/>
      <c r="C368" s="174"/>
    </row>
    <row r="369" spans="1:3">
      <c r="A369" s="174"/>
      <c r="B369" s="174"/>
      <c r="C369" s="174"/>
    </row>
    <row r="370" spans="1:3">
      <c r="A370" s="174"/>
      <c r="B370" s="174"/>
      <c r="C370" s="174"/>
    </row>
    <row r="371" spans="1:3">
      <c r="A371" s="174"/>
      <c r="B371" s="174"/>
      <c r="C371" s="174"/>
    </row>
    <row r="372" spans="1:3">
      <c r="A372" s="174"/>
      <c r="B372" s="174"/>
      <c r="C372" s="174"/>
    </row>
    <row r="373" spans="1:3">
      <c r="A373" s="174"/>
      <c r="B373" s="174"/>
      <c r="C373" s="174"/>
    </row>
    <row r="374" spans="1:3">
      <c r="A374" s="174"/>
      <c r="B374" s="174"/>
      <c r="C374" s="174"/>
    </row>
    <row r="375" spans="1:3">
      <c r="A375" s="174"/>
      <c r="B375" s="174"/>
      <c r="C375" s="174"/>
    </row>
    <row r="376" spans="1:3">
      <c r="A376" s="174"/>
      <c r="B376" s="174"/>
      <c r="C376" s="174"/>
    </row>
    <row r="377" spans="1:3">
      <c r="A377" s="174"/>
      <c r="B377" s="174"/>
      <c r="C377" s="174"/>
    </row>
    <row r="378" spans="1:3">
      <c r="A378" s="174"/>
      <c r="B378" s="174"/>
      <c r="C378" s="174"/>
    </row>
    <row r="379" spans="1:3">
      <c r="A379" s="174"/>
      <c r="B379" s="174"/>
      <c r="C379" s="174"/>
    </row>
    <row r="380" spans="1:3">
      <c r="A380" s="174"/>
      <c r="B380" s="174"/>
      <c r="C380" s="174"/>
    </row>
    <row r="381" spans="1:3">
      <c r="A381" s="174"/>
      <c r="B381" s="174"/>
      <c r="C381" s="174"/>
    </row>
    <row r="382" spans="1:3">
      <c r="A382" s="174"/>
      <c r="B382" s="174"/>
      <c r="C382" s="174"/>
    </row>
    <row r="383" spans="1:3">
      <c r="A383" s="174"/>
      <c r="B383" s="174"/>
      <c r="C383" s="174"/>
    </row>
    <row r="384" spans="1:3">
      <c r="A384" s="174"/>
      <c r="B384" s="174"/>
      <c r="C384" s="174"/>
    </row>
    <row r="385" spans="1:3">
      <c r="A385" s="174"/>
      <c r="B385" s="174"/>
      <c r="C385" s="174"/>
    </row>
    <row r="386" spans="1:3">
      <c r="A386" s="174"/>
      <c r="B386" s="174"/>
      <c r="C386" s="174"/>
    </row>
    <row r="387" spans="1:3">
      <c r="A387" s="174"/>
      <c r="B387" s="174"/>
      <c r="C387" s="174"/>
    </row>
    <row r="388" spans="1:3">
      <c r="A388" s="174"/>
      <c r="B388" s="174"/>
      <c r="C388" s="174"/>
    </row>
  </sheetData>
  <mergeCells count="216">
    <mergeCell ref="AV32:AV33"/>
    <mergeCell ref="AW32:AW33"/>
    <mergeCell ref="AX32:AX33"/>
    <mergeCell ref="AV34:AV35"/>
    <mergeCell ref="AW34:AW35"/>
    <mergeCell ref="AX34:AX35"/>
    <mergeCell ref="AW26:AW27"/>
    <mergeCell ref="AX26:AX27"/>
    <mergeCell ref="AU30:AU31"/>
    <mergeCell ref="AV28:AV29"/>
    <mergeCell ref="AW28:AW29"/>
    <mergeCell ref="AX28:AX29"/>
    <mergeCell ref="AV30:AV31"/>
    <mergeCell ref="AW30:AW31"/>
    <mergeCell ref="AX30:AX31"/>
    <mergeCell ref="AW12:AW13"/>
    <mergeCell ref="AX12:AX13"/>
    <mergeCell ref="AV14:AV15"/>
    <mergeCell ref="AW14:AW15"/>
    <mergeCell ref="AX14:AX15"/>
    <mergeCell ref="AU18:AU23"/>
    <mergeCell ref="AW16:AW17"/>
    <mergeCell ref="AX16:AX17"/>
    <mergeCell ref="AN26:AN27"/>
    <mergeCell ref="AO26:AO27"/>
    <mergeCell ref="AP26:AP27"/>
    <mergeCell ref="AQ26:AQ27"/>
    <mergeCell ref="AR26:AR27"/>
    <mergeCell ref="AS26:AS27"/>
    <mergeCell ref="AS24:AS25"/>
    <mergeCell ref="AT24:AT25"/>
    <mergeCell ref="AU24:AU25"/>
    <mergeCell ref="AS16:AS17"/>
    <mergeCell ref="AT16:AT17"/>
    <mergeCell ref="AU16:AU17"/>
    <mergeCell ref="AV24:AV25"/>
    <mergeCell ref="AW24:AW25"/>
    <mergeCell ref="AX24:AX25"/>
    <mergeCell ref="AV26:AV27"/>
    <mergeCell ref="AV16:AV17"/>
    <mergeCell ref="AS12:AS13"/>
    <mergeCell ref="AT12:AT13"/>
    <mergeCell ref="AU12:AU13"/>
    <mergeCell ref="AN18:AN23"/>
    <mergeCell ref="AO18:AO23"/>
    <mergeCell ref="AP18:AP23"/>
    <mergeCell ref="AQ18:AQ23"/>
    <mergeCell ref="AR18:AR23"/>
    <mergeCell ref="AS18:AS23"/>
    <mergeCell ref="AT18:AT23"/>
    <mergeCell ref="AV12:AV13"/>
    <mergeCell ref="AR14:AR15"/>
    <mergeCell ref="AN14:AN15"/>
    <mergeCell ref="AO14:AO15"/>
    <mergeCell ref="AP14:AP15"/>
    <mergeCell ref="AQ14:AQ15"/>
    <mergeCell ref="AS14:AS15"/>
    <mergeCell ref="AT14:AT15"/>
    <mergeCell ref="AU14:AU15"/>
    <mergeCell ref="AN12:AN13"/>
    <mergeCell ref="AO12:AO13"/>
    <mergeCell ref="AP12:AP13"/>
    <mergeCell ref="AV8:AV9"/>
    <mergeCell ref="AU8:AU9"/>
    <mergeCell ref="AT8:AT9"/>
    <mergeCell ref="AS8:AS9"/>
    <mergeCell ref="AX7:AY7"/>
    <mergeCell ref="AW8:AW9"/>
    <mergeCell ref="AX8:AX9"/>
    <mergeCell ref="AV10:AV11"/>
    <mergeCell ref="AW10:AW11"/>
    <mergeCell ref="AX10:AX11"/>
    <mergeCell ref="AS10:AS11"/>
    <mergeCell ref="AT10:AT11"/>
    <mergeCell ref="AU10:AU11"/>
    <mergeCell ref="G140:O140"/>
    <mergeCell ref="G90:O90"/>
    <mergeCell ref="G100:O100"/>
    <mergeCell ref="G110:O110"/>
    <mergeCell ref="G120:O120"/>
    <mergeCell ref="G130:O130"/>
    <mergeCell ref="AQ8:AQ9"/>
    <mergeCell ref="AP8:AP9"/>
    <mergeCell ref="AO8:AO9"/>
    <mergeCell ref="AN8:AN9"/>
    <mergeCell ref="AN10:AN11"/>
    <mergeCell ref="AO10:AO11"/>
    <mergeCell ref="AP10:AP11"/>
    <mergeCell ref="AQ10:AQ11"/>
    <mergeCell ref="AN16:AN17"/>
    <mergeCell ref="AO16:AO17"/>
    <mergeCell ref="AQ12:AQ13"/>
    <mergeCell ref="AN28:AN29"/>
    <mergeCell ref="AO28:AO29"/>
    <mergeCell ref="AP28:AP29"/>
    <mergeCell ref="AQ28:AQ29"/>
    <mergeCell ref="AN30:AN31"/>
    <mergeCell ref="AO30:AO31"/>
    <mergeCell ref="AP30:AP31"/>
    <mergeCell ref="AT40:AT41"/>
    <mergeCell ref="AN6:AN7"/>
    <mergeCell ref="AO6:AO7"/>
    <mergeCell ref="AP6:AP7"/>
    <mergeCell ref="AQ6:AQ7"/>
    <mergeCell ref="AR6:AR7"/>
    <mergeCell ref="AS6:AS7"/>
    <mergeCell ref="AT6:AT7"/>
    <mergeCell ref="AU6:AU7"/>
    <mergeCell ref="AR12:AR13"/>
    <mergeCell ref="AR8:AR9"/>
    <mergeCell ref="AR10:AR11"/>
    <mergeCell ref="AR16:AR17"/>
    <mergeCell ref="AR28:AR29"/>
    <mergeCell ref="AS28:AS29"/>
    <mergeCell ref="AT28:AT29"/>
    <mergeCell ref="AU28:AU29"/>
    <mergeCell ref="AQ30:AQ31"/>
    <mergeCell ref="AR30:AR31"/>
    <mergeCell ref="AS30:AS31"/>
    <mergeCell ref="AT30:AT31"/>
    <mergeCell ref="AQ34:AQ35"/>
    <mergeCell ref="AR34:AR35"/>
    <mergeCell ref="AS34:AS35"/>
    <mergeCell ref="AT34:AT35"/>
    <mergeCell ref="AN24:AN25"/>
    <mergeCell ref="AP16:AP17"/>
    <mergeCell ref="AQ16:AQ17"/>
    <mergeCell ref="AN32:AN33"/>
    <mergeCell ref="AO32:AO33"/>
    <mergeCell ref="AP32:AP33"/>
    <mergeCell ref="AQ32:AQ33"/>
    <mergeCell ref="AN34:AN35"/>
    <mergeCell ref="AO34:AO35"/>
    <mergeCell ref="AT38:AT39"/>
    <mergeCell ref="AU38:AU39"/>
    <mergeCell ref="AV40:AV41"/>
    <mergeCell ref="AV36:AV37"/>
    <mergeCell ref="AS40:AS41"/>
    <mergeCell ref="AU40:AU41"/>
    <mergeCell ref="G80:O80"/>
    <mergeCell ref="J24:K24"/>
    <mergeCell ref="H24:I24"/>
    <mergeCell ref="AT36:AT37"/>
    <mergeCell ref="AU36:AU37"/>
    <mergeCell ref="AN38:AN39"/>
    <mergeCell ref="AO38:AO39"/>
    <mergeCell ref="AP38:AP39"/>
    <mergeCell ref="AQ38:AQ39"/>
    <mergeCell ref="AR38:AR39"/>
    <mergeCell ref="AT26:AT27"/>
    <mergeCell ref="AU26:AU27"/>
    <mergeCell ref="AU34:AU35"/>
    <mergeCell ref="AR32:AR33"/>
    <mergeCell ref="AS32:AS33"/>
    <mergeCell ref="AT32:AT33"/>
    <mergeCell ref="AU32:AU33"/>
    <mergeCell ref="AP34:AP35"/>
    <mergeCell ref="AV42:AV43"/>
    <mergeCell ref="AW42:AW43"/>
    <mergeCell ref="AX42:AX43"/>
    <mergeCell ref="AN44:AN45"/>
    <mergeCell ref="AO44:AO45"/>
    <mergeCell ref="AW40:AW41"/>
    <mergeCell ref="AX40:AX41"/>
    <mergeCell ref="AN36:AN37"/>
    <mergeCell ref="AO36:AO37"/>
    <mergeCell ref="AP36:AP37"/>
    <mergeCell ref="AQ36:AQ37"/>
    <mergeCell ref="AR36:AR37"/>
    <mergeCell ref="AS36:AS37"/>
    <mergeCell ref="AW36:AW37"/>
    <mergeCell ref="AX36:AX37"/>
    <mergeCell ref="AV38:AV39"/>
    <mergeCell ref="AW38:AW39"/>
    <mergeCell ref="AX38:AX39"/>
    <mergeCell ref="AN40:AN41"/>
    <mergeCell ref="AO40:AO41"/>
    <mergeCell ref="AP40:AP41"/>
    <mergeCell ref="AQ40:AQ41"/>
    <mergeCell ref="AR40:AR41"/>
    <mergeCell ref="AS38:AS39"/>
    <mergeCell ref="AQ42:AQ43"/>
    <mergeCell ref="AR42:AR43"/>
    <mergeCell ref="AS42:AS43"/>
    <mergeCell ref="AT42:AT43"/>
    <mergeCell ref="AU42:AU43"/>
    <mergeCell ref="AP44:AP45"/>
    <mergeCell ref="AQ44:AQ45"/>
    <mergeCell ref="AR44:AR45"/>
    <mergeCell ref="AS44:AS45"/>
    <mergeCell ref="AT44:AT45"/>
    <mergeCell ref="AU44:AU45"/>
    <mergeCell ref="AX18:AX23"/>
    <mergeCell ref="AW18:AW23"/>
    <mergeCell ref="AV18:AV23"/>
    <mergeCell ref="AN46:AN47"/>
    <mergeCell ref="AO46:AO47"/>
    <mergeCell ref="AP46:AP47"/>
    <mergeCell ref="AQ46:AQ47"/>
    <mergeCell ref="AR46:AR47"/>
    <mergeCell ref="AS46:AS47"/>
    <mergeCell ref="AW46:AW47"/>
    <mergeCell ref="AX46:AX47"/>
    <mergeCell ref="AR24:AR25"/>
    <mergeCell ref="AQ24:AQ25"/>
    <mergeCell ref="AP24:AP25"/>
    <mergeCell ref="AO24:AO25"/>
    <mergeCell ref="AT46:AT47"/>
    <mergeCell ref="AU46:AU47"/>
    <mergeCell ref="AV44:AV45"/>
    <mergeCell ref="AV46:AV47"/>
    <mergeCell ref="AW44:AW45"/>
    <mergeCell ref="AX44:AX45"/>
    <mergeCell ref="AN42:AN43"/>
    <mergeCell ref="AO42:AO43"/>
    <mergeCell ref="AP42:AP4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workbookViewId="0">
      <selection activeCell="C7" sqref="C7:F7"/>
    </sheetView>
  </sheetViews>
  <sheetFormatPr baseColWidth="10" defaultColWidth="11.42578125" defaultRowHeight="15"/>
  <cols>
    <col min="1" max="1" width="27.5703125" bestFit="1" customWidth="1"/>
    <col min="2" max="2" width="14.7109375" bestFit="1" customWidth="1"/>
    <col min="3" max="3" width="20.140625" bestFit="1" customWidth="1"/>
    <col min="4" max="4" width="20.42578125" customWidth="1"/>
    <col min="5" max="5" width="22.28515625" bestFit="1" customWidth="1"/>
    <col min="6" max="6" width="30.42578125" bestFit="1" customWidth="1"/>
    <col min="7" max="7" width="18.85546875" bestFit="1" customWidth="1"/>
    <col min="8" max="8" width="14" bestFit="1" customWidth="1"/>
  </cols>
  <sheetData>
    <row r="1" spans="1:7" ht="15.75">
      <c r="A1" s="42" t="s">
        <v>84</v>
      </c>
    </row>
    <row r="3" spans="1:7">
      <c r="A3" t="s">
        <v>85</v>
      </c>
    </row>
    <row r="4" spans="1:7">
      <c r="F4" t="s">
        <v>86</v>
      </c>
    </row>
    <row r="5" spans="1:7">
      <c r="A5" s="5" t="s">
        <v>87</v>
      </c>
      <c r="B5" t="s">
        <v>88</v>
      </c>
      <c r="C5" s="4" t="s">
        <v>89</v>
      </c>
      <c r="D5" s="5" t="s">
        <v>90</v>
      </c>
      <c r="E5" s="5" t="s">
        <v>91</v>
      </c>
      <c r="F5" s="4" t="s">
        <v>92</v>
      </c>
      <c r="G5" s="4" t="s">
        <v>93</v>
      </c>
    </row>
    <row r="6" spans="1:7">
      <c r="A6" s="5" t="s">
        <v>94</v>
      </c>
      <c r="B6" t="s">
        <v>95</v>
      </c>
      <c r="C6" s="4" t="s">
        <v>96</v>
      </c>
      <c r="D6" s="5" t="s">
        <v>97</v>
      </c>
      <c r="E6" s="5" t="s">
        <v>98</v>
      </c>
      <c r="F6" s="4" t="s">
        <v>99</v>
      </c>
      <c r="G6" s="4" t="s">
        <v>100</v>
      </c>
    </row>
    <row r="7" spans="1:7">
      <c r="A7" s="5" t="s">
        <v>101</v>
      </c>
      <c r="B7" t="s">
        <v>102</v>
      </c>
      <c r="C7" s="4" t="s">
        <v>103</v>
      </c>
      <c r="D7" s="4" t="s">
        <v>104</v>
      </c>
      <c r="E7" s="5" t="s">
        <v>105</v>
      </c>
      <c r="F7" s="4" t="s">
        <v>106</v>
      </c>
      <c r="G7" s="4" t="s">
        <v>107</v>
      </c>
    </row>
    <row r="8" spans="1:7">
      <c r="A8" s="5" t="s">
        <v>108</v>
      </c>
      <c r="B8" t="s">
        <v>109</v>
      </c>
      <c r="C8" s="4" t="s">
        <v>110</v>
      </c>
      <c r="D8" s="4" t="s">
        <v>111</v>
      </c>
      <c r="E8" s="5" t="s">
        <v>112</v>
      </c>
      <c r="F8" s="5" t="s">
        <v>113</v>
      </c>
      <c r="G8" s="4" t="s">
        <v>114</v>
      </c>
    </row>
    <row r="9" spans="1:7">
      <c r="A9" s="5" t="s">
        <v>115</v>
      </c>
      <c r="B9" t="s">
        <v>116</v>
      </c>
      <c r="C9" s="4" t="s">
        <v>117</v>
      </c>
      <c r="E9" s="5" t="s">
        <v>118</v>
      </c>
      <c r="F9" s="19" t="s">
        <v>119</v>
      </c>
      <c r="G9" s="4" t="s">
        <v>111</v>
      </c>
    </row>
    <row r="10" spans="1:7">
      <c r="A10" s="5" t="s">
        <v>120</v>
      </c>
      <c r="B10" t="s">
        <v>121</v>
      </c>
      <c r="E10" s="5" t="s">
        <v>122</v>
      </c>
      <c r="F10" s="19" t="s">
        <v>123</v>
      </c>
    </row>
    <row r="11" spans="1:7">
      <c r="A11" s="5" t="s">
        <v>124</v>
      </c>
      <c r="E11" s="5" t="s">
        <v>125</v>
      </c>
      <c r="F11" s="19" t="s">
        <v>126</v>
      </c>
    </row>
    <row r="12" spans="1:7">
      <c r="E12" s="5" t="s">
        <v>127</v>
      </c>
      <c r="F12" s="5" t="s">
        <v>128</v>
      </c>
    </row>
    <row r="13" spans="1:7">
      <c r="A13" s="16" t="s">
        <v>129</v>
      </c>
      <c r="B13" s="16" t="s">
        <v>129</v>
      </c>
      <c r="C13" s="16" t="s">
        <v>129</v>
      </c>
      <c r="E13" s="14" t="s">
        <v>127</v>
      </c>
      <c r="F13" s="5" t="s">
        <v>111</v>
      </c>
    </row>
    <row r="14" spans="1:7">
      <c r="A14" s="15" t="s">
        <v>130</v>
      </c>
      <c r="B14" s="15" t="s">
        <v>131</v>
      </c>
      <c r="C14" s="15" t="s">
        <v>132</v>
      </c>
      <c r="E14" s="5" t="s">
        <v>111</v>
      </c>
    </row>
    <row r="15" spans="1:7">
      <c r="A15" t="s">
        <v>133</v>
      </c>
      <c r="B15" t="s">
        <v>134</v>
      </c>
      <c r="C15" t="s">
        <v>135</v>
      </c>
    </row>
    <row r="16" spans="1:7">
      <c r="B16" t="s">
        <v>136</v>
      </c>
    </row>
    <row r="20" spans="3:7" ht="18">
      <c r="C20" s="250" t="s">
        <v>137</v>
      </c>
      <c r="D20" s="250"/>
      <c r="E20" s="250"/>
      <c r="F20" s="250"/>
      <c r="G20" s="250"/>
    </row>
    <row r="22" spans="3:7" s="13" customFormat="1">
      <c r="D22" s="247" t="str">
        <f>'Tableau 3 Production'!E3</f>
        <v>Situation actuelle</v>
      </c>
      <c r="E22" s="247"/>
      <c r="F22" s="247" t="str">
        <f>'Tableau 3 Production'!F3</f>
        <v>Situation future
 (projet EnR)</v>
      </c>
      <c r="G22" s="247"/>
    </row>
    <row r="23" spans="3:7" s="13" customFormat="1" ht="45">
      <c r="D23" s="139" t="str">
        <f>'Tableau 3 Production'!C11</f>
        <v>Production d'Appoint_1</v>
      </c>
      <c r="E23" s="139" t="str">
        <f>'Tableau 3 Production'!C17</f>
        <v>Production d'Appoint_2
le cas échéant</v>
      </c>
      <c r="F23" s="139" t="str">
        <f>'Tableau 3 Production'!C11</f>
        <v>Production d'Appoint_1</v>
      </c>
      <c r="G23" s="139" t="str">
        <f>'Tableau 3 Production'!C17</f>
        <v>Production d'Appoint_2
le cas échéant</v>
      </c>
    </row>
    <row r="24" spans="3:7" s="13" customFormat="1">
      <c r="C24" s="138" t="s">
        <v>138</v>
      </c>
      <c r="D24" s="140" t="str">
        <f>IF(COUNTA('Tableau 3 Production'!E13)=0,"Renseigner le tableau",'Tableau 3 Production'!E13)</f>
        <v>Fuel</v>
      </c>
      <c r="E24" s="140" t="str">
        <f>IF(COUNTA('Tableau 3 Production'!E19)=0,"Renseigner le tableau",'Tableau 3 Production'!E19)</f>
        <v>Gaz Naturel</v>
      </c>
      <c r="F24" s="140" t="str">
        <f>IF(COUNTA('Tableau 3 Production'!F13)=0,"Renseigner le tableau",'Tableau 3 Production'!F13)</f>
        <v>Fuel</v>
      </c>
      <c r="G24" s="140" t="str">
        <f>IF(COUNTA('Tableau 3 Production'!F19)=0,"Renseigner le tableau",'Tableau 3 Production'!F19)</f>
        <v>Gaz Naturel</v>
      </c>
    </row>
    <row r="25" spans="3:7" s="13" customFormat="1" ht="30">
      <c r="C25" s="138" t="s">
        <v>139</v>
      </c>
      <c r="D25" s="141" t="str">
        <f>IF(COUNT('Tableau 3 Production'!E16)=0,"Renseigner le tableau",'Tableau 3 Production'!E16)</f>
        <v>Renseigner le tableau</v>
      </c>
      <c r="E25" s="141" t="str">
        <f>IF(COUNT('Tableau 3 Production'!E22)=0,"Renseigner le tableau",'Tableau 3 Production'!E22)</f>
        <v>Renseigner le tableau</v>
      </c>
      <c r="F25" s="141" t="str">
        <f>IF(COUNT('Tableau 3 Production'!F16)=0,"Renseigner le tableau",'Tableau 3 Production'!F16)</f>
        <v>Renseigner le tableau</v>
      </c>
      <c r="G25" s="141" t="str">
        <f>IF(COUNT('Tableau 3 Production'!F22)=0,"Renseigner le tableau",'Tableau 3 Production'!F22)</f>
        <v>Renseigner le tableau</v>
      </c>
    </row>
    <row r="26" spans="3:7" s="13" customFormat="1">
      <c r="C26" s="137" t="s">
        <v>140</v>
      </c>
      <c r="D26" s="248" t="str">
        <f>IFERROR(D25+E25,"Renseigner le tableau")</f>
        <v>Renseigner le tableau</v>
      </c>
      <c r="E26" s="249"/>
      <c r="F26" s="248" t="str">
        <f>IFERROR(F25+G25,"Renseigner le tableau")</f>
        <v>Renseigner le tableau</v>
      </c>
      <c r="G26" s="249"/>
    </row>
    <row r="27" spans="3:7" s="13" customFormat="1" ht="30">
      <c r="C27" s="138" t="str">
        <f>Paramètres!B5</f>
        <v>Gaz Naturel</v>
      </c>
      <c r="D27" s="124">
        <f>SUMIF($D$24:$E$24,$C27,$D$25:$E$25)</f>
        <v>0</v>
      </c>
      <c r="E27" s="125" t="str">
        <f>IFERROR(D27/D$26,"Renseigner le tableau")</f>
        <v>Renseigner le tableau</v>
      </c>
      <c r="F27" s="124">
        <f>SUMIF($F$24:$G$24,$C27,$F$25:$G$25)</f>
        <v>0</v>
      </c>
      <c r="G27" s="125" t="str">
        <f>IFERROR(F27/F$26,"Renseigner le tableau")</f>
        <v>Renseigner le tableau</v>
      </c>
    </row>
    <row r="28" spans="3:7" s="13" customFormat="1" ht="30">
      <c r="C28" s="138" t="str">
        <f>Paramètres!B6</f>
        <v>Fioul</v>
      </c>
      <c r="D28" s="124">
        <f>SUMIF($D$24:$E$24,$C28,$D$25:$E$25)</f>
        <v>0</v>
      </c>
      <c r="E28" s="125" t="str">
        <f>IFERROR(D28/D$26,"Renseigner le tableau")</f>
        <v>Renseigner le tableau</v>
      </c>
      <c r="F28" s="124">
        <f>SUMIF($F$24:$G$24,$C28,$F$25:$G$25)</f>
        <v>0</v>
      </c>
      <c r="G28" s="125" t="str">
        <f>IFERROR(F28/F$26,"Renseigner le tableau")</f>
        <v>Renseigner le tableau</v>
      </c>
    </row>
    <row r="29" spans="3:7" s="13" customFormat="1" ht="30">
      <c r="C29" s="138" t="str">
        <f>Paramètres!B7</f>
        <v>Charbon</v>
      </c>
      <c r="D29" s="124">
        <f>SUMIF($D$24:$E$24,$C29,$D$25:$E$25)</f>
        <v>0</v>
      </c>
      <c r="E29" s="125" t="str">
        <f>IFERROR(D29/D$26,"Renseigner le tableau")</f>
        <v>Renseigner le tableau</v>
      </c>
      <c r="F29" s="124">
        <f>SUMIF($F$24:$G$24,$C29,$F$25:$G$25)</f>
        <v>0</v>
      </c>
      <c r="G29" s="125" t="str">
        <f>IFERROR(F29/F$26,"Renseigner le tableau")</f>
        <v>Renseigner le tableau</v>
      </c>
    </row>
    <row r="30" spans="3:7" s="13" customFormat="1" ht="30">
      <c r="C30" s="138" t="str">
        <f>Paramètres!B8</f>
        <v>Electricité</v>
      </c>
      <c r="D30" s="124">
        <f>SUMIF($D$24:$E$24,$C30,$D$25:$E$25)</f>
        <v>0</v>
      </c>
      <c r="E30" s="125" t="str">
        <f>IFERROR(D30/D$26,"Renseigner le tableau")</f>
        <v>Renseigner le tableau</v>
      </c>
      <c r="F30" s="124">
        <f>SUMIF($F$24:$G$24,$C30,$F$25:$G$25)</f>
        <v>0</v>
      </c>
      <c r="G30" s="125" t="str">
        <f>IFERROR(F30/F$26,"Renseigner le tableau")</f>
        <v>Renseigner le tableau</v>
      </c>
    </row>
    <row r="31" spans="3:7" s="13" customFormat="1" ht="30">
      <c r="C31" s="138" t="str">
        <f>Paramètres!B10</f>
        <v>Réseau Chaleur</v>
      </c>
      <c r="D31" s="124">
        <f>SUMIF($D$24:$E$24,$C31,$D$25:$E$25)</f>
        <v>0</v>
      </c>
      <c r="E31" s="125" t="str">
        <f>IFERROR(D31/D$26,"Renseigner le tableau")</f>
        <v>Renseigner le tableau</v>
      </c>
      <c r="F31" s="124">
        <f>SUMIF($F$24:$G$24,$C31,$F$25:$G$25)</f>
        <v>0</v>
      </c>
      <c r="G31" s="125" t="str">
        <f>IFERROR(F31/F$26,"Renseigner le tableau")</f>
        <v>Renseigner le tableau</v>
      </c>
    </row>
    <row r="32" spans="3:7" s="13" customFormat="1">
      <c r="C32" s="122"/>
      <c r="D32" s="123"/>
      <c r="E32" s="142">
        <f>SUM(E27:E31)</f>
        <v>0</v>
      </c>
      <c r="F32" s="123"/>
      <c r="G32" s="142">
        <f>SUM(G27:G31)</f>
        <v>0</v>
      </c>
    </row>
  </sheetData>
  <mergeCells count="5">
    <mergeCell ref="D22:E22"/>
    <mergeCell ref="F22:G22"/>
    <mergeCell ref="D26:E26"/>
    <mergeCell ref="F26:G26"/>
    <mergeCell ref="C20:G20"/>
  </mergeCells>
  <conditionalFormatting sqref="E32 G32">
    <cfRule type="cellIs" dxfId="2" priority="1" operator="equal">
      <formula>1</formula>
    </cfRule>
    <cfRule type="cellIs" dxfId="1" priority="2" operator="notEqual">
      <formula>1</formula>
    </cfRule>
  </conditionalFormatting>
  <pageMargins left="0.7" right="0.7" top="0.75" bottom="0.75" header="0.3" footer="0.3"/>
  <pageSetup paperSize="9" orientation="portrait" r:id="rId1"/>
  <ignoredErrors>
    <ignoredError sqref="E23 F23:G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tabColor rgb="FF0000FF"/>
  </sheetPr>
  <dimension ref="A1:G51"/>
  <sheetViews>
    <sheetView tabSelected="1" topLeftCell="B1" zoomScale="115" zoomScaleNormal="115" workbookViewId="0">
      <selection activeCell="C7" sqref="C7:F7"/>
    </sheetView>
  </sheetViews>
  <sheetFormatPr baseColWidth="10" defaultColWidth="0" defaultRowHeight="12.75" customHeight="1" zeroHeight="1"/>
  <cols>
    <col min="1" max="1" width="9.28515625" style="1" hidden="1" customWidth="1"/>
    <col min="2" max="2" width="11.5703125" style="1" customWidth="1"/>
    <col min="3" max="3" width="35.7109375" style="1" customWidth="1"/>
    <col min="4" max="4" width="15.7109375" style="1" customWidth="1"/>
    <col min="5" max="5" width="2.7109375" style="1" customWidth="1"/>
    <col min="6" max="6" width="15.7109375" style="1" customWidth="1"/>
    <col min="7" max="7" width="35.7109375" style="1" customWidth="1"/>
    <col min="8" max="16384" width="11.42578125" style="1" hidden="1"/>
  </cols>
  <sheetData>
    <row r="1" spans="1:6" ht="21" customHeight="1">
      <c r="A1" s="28"/>
    </row>
    <row r="2" spans="1:6" ht="21" customHeight="1"/>
    <row r="3" spans="1:6" ht="21" customHeight="1"/>
    <row r="4" spans="1:6" ht="21" customHeight="1">
      <c r="B4" s="2"/>
    </row>
    <row r="5" spans="1:6" ht="21" customHeight="1"/>
    <row r="6" spans="1:6" ht="25.5" customHeight="1">
      <c r="D6" s="3"/>
      <c r="E6" s="3"/>
      <c r="F6" s="3">
        <v>2024</v>
      </c>
    </row>
    <row r="7" spans="1:6" ht="65.099999999999994" customHeight="1">
      <c r="C7" s="253" t="s">
        <v>141</v>
      </c>
      <c r="D7" s="253"/>
      <c r="E7" s="253"/>
      <c r="F7" s="253"/>
    </row>
    <row r="8" spans="1:6" ht="19.5" customHeight="1"/>
    <row r="9" spans="1:6" s="12" customFormat="1" ht="15" customHeight="1">
      <c r="C9" s="254" t="s">
        <v>142</v>
      </c>
      <c r="D9" s="255"/>
      <c r="E9" s="255"/>
      <c r="F9" s="256"/>
    </row>
    <row r="10" spans="1:6" s="12" customFormat="1" ht="15" customHeight="1">
      <c r="C10" s="257" t="s">
        <v>143</v>
      </c>
      <c r="D10" s="258"/>
      <c r="E10" s="258"/>
      <c r="F10" s="259"/>
    </row>
    <row r="11" spans="1:6" s="12" customFormat="1" ht="15" customHeight="1">
      <c r="C11" s="257" t="s">
        <v>144</v>
      </c>
      <c r="D11" s="258"/>
      <c r="E11" s="258"/>
      <c r="F11" s="259"/>
    </row>
    <row r="12" spans="1:6" ht="19.5" customHeight="1"/>
    <row r="13" spans="1:6" ht="19.5" customHeight="1">
      <c r="C13" s="251" t="s">
        <v>145</v>
      </c>
      <c r="D13" s="251"/>
      <c r="E13" s="251"/>
      <c r="F13" s="251"/>
    </row>
    <row r="14" spans="1:6" ht="19.5" customHeight="1"/>
    <row r="15" spans="1:6">
      <c r="C15" s="252" t="s">
        <v>146</v>
      </c>
      <c r="D15" s="252"/>
      <c r="E15" s="252"/>
      <c r="F15" s="252"/>
    </row>
    <row r="16" spans="1:6">
      <c r="C16" s="1" t="s">
        <v>147</v>
      </c>
      <c r="D16" s="17" t="s">
        <v>129</v>
      </c>
      <c r="F16" s="17" t="s">
        <v>129</v>
      </c>
    </row>
    <row r="17" spans="3:6">
      <c r="C17" s="1" t="s">
        <v>148</v>
      </c>
      <c r="D17" s="17" t="s">
        <v>129</v>
      </c>
    </row>
    <row r="18" spans="3:6" ht="19.5" customHeight="1"/>
    <row r="19" spans="3:6" ht="19.5" customHeight="1">
      <c r="C19" s="6" t="s">
        <v>149</v>
      </c>
      <c r="D19" s="6"/>
      <c r="E19" s="6"/>
      <c r="F19" s="6"/>
    </row>
    <row r="20" spans="3:6" ht="19.5" customHeight="1"/>
    <row r="21" spans="3:6" ht="19.5" customHeight="1"/>
    <row r="22" spans="3:6" ht="12.75" customHeight="1"/>
    <row r="23" spans="3:6" ht="12.75" customHeight="1"/>
    <row r="24" spans="3:6" ht="12.75" customHeight="1"/>
    <row r="25" spans="3:6" ht="12.75" customHeight="1"/>
    <row r="26" spans="3:6" ht="12.75" customHeight="1"/>
    <row r="27" spans="3:6" ht="12.75" customHeight="1"/>
    <row r="28" spans="3:6" ht="12.75" customHeight="1"/>
    <row r="29" spans="3:6" ht="12.75" customHeight="1"/>
    <row r="30" spans="3:6" ht="12.75" customHeight="1"/>
    <row r="31" spans="3:6" ht="12.75" customHeight="1"/>
    <row r="32" spans="3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6">
    <mergeCell ref="C13:F13"/>
    <mergeCell ref="C15:F15"/>
    <mergeCell ref="C7:F7"/>
    <mergeCell ref="C9:F9"/>
    <mergeCell ref="C10:F10"/>
    <mergeCell ref="C11:F11"/>
  </mergeCells>
  <phoneticPr fontId="8" type="noConversion"/>
  <hyperlinks>
    <hyperlink ref="C9" location="'Tableau 1 Besoins'!A1" display="Tableau 1 : Besoins" xr:uid="{00000000-0004-0000-0100-000000000000}"/>
    <hyperlink ref="C10" location="'Tableau 2 Installation'!A1" display="Tableau 2 : Installation" xr:uid="{00000000-0004-0000-0100-000001000000}"/>
    <hyperlink ref="C11" location="'Tableau 3 Production'!A1" display="Tableau 3 : Production" xr:uid="{00000000-0004-0000-0100-000002000000}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Paramètres!$A$13:$A$15</xm:f>
          </x14:formula1>
          <xm:sqref>D16:E16</xm:sqref>
        </x14:dataValidation>
        <x14:dataValidation type="list" allowBlank="1" showInputMessage="1" showErrorMessage="1" xr:uid="{00000000-0002-0000-0100-000001000000}">
          <x14:formula1>
            <xm:f>Paramètres!$B$13:$B$16</xm:f>
          </x14:formula1>
          <xm:sqref>F16</xm:sqref>
        </x14:dataValidation>
        <x14:dataValidation type="list" allowBlank="1" showInputMessage="1" showErrorMessage="1" xr:uid="{00000000-0002-0000-0100-000002000000}">
          <x14:formula1>
            <xm:f>Paramètres!$C$13:$C$15</xm:f>
          </x14:formula1>
          <xm:sqref>D17:E17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theme="5" tint="-0.249977111117893"/>
  </sheetPr>
  <dimension ref="A1:AD91"/>
  <sheetViews>
    <sheetView zoomScaleNormal="100" workbookViewId="0"/>
  </sheetViews>
  <sheetFormatPr baseColWidth="10" defaultColWidth="11.42578125" defaultRowHeight="15"/>
  <cols>
    <col min="1" max="1" width="18.7109375" style="13" customWidth="1"/>
    <col min="2" max="2" width="48" style="13" customWidth="1"/>
    <col min="3" max="15" width="11.85546875" style="13" customWidth="1"/>
    <col min="16" max="16" width="20.5703125" style="13" bestFit="1" customWidth="1"/>
    <col min="17" max="18" width="8.7109375" style="13" customWidth="1"/>
    <col min="19" max="16384" width="11.42578125" style="13"/>
  </cols>
  <sheetData>
    <row r="1" spans="1:10" ht="15.75">
      <c r="A1" s="32" t="s">
        <v>150</v>
      </c>
      <c r="C1" s="33"/>
      <c r="D1" s="33"/>
      <c r="E1" s="33"/>
      <c r="F1" s="33"/>
      <c r="G1" s="33"/>
    </row>
    <row r="2" spans="1:10" ht="15.75" thickBot="1">
      <c r="A2" s="33" t="s">
        <v>151</v>
      </c>
      <c r="D2" s="33"/>
      <c r="E2" s="33"/>
      <c r="F2" s="33"/>
      <c r="G2" s="33"/>
    </row>
    <row r="3" spans="1:10" ht="57.75" customHeight="1" thickBot="1">
      <c r="C3" s="276" t="s">
        <v>152</v>
      </c>
      <c r="D3" s="277"/>
      <c r="E3" s="311" t="s">
        <v>153</v>
      </c>
      <c r="F3" s="311"/>
      <c r="G3" s="311"/>
      <c r="H3" s="311"/>
      <c r="I3" s="311"/>
      <c r="J3" s="312"/>
    </row>
    <row r="4" spans="1:10">
      <c r="B4" s="31" t="s">
        <v>154</v>
      </c>
      <c r="C4" s="278"/>
      <c r="D4" s="278"/>
      <c r="E4" s="274"/>
      <c r="F4" s="274"/>
      <c r="G4" s="274"/>
      <c r="H4" s="274"/>
      <c r="I4" s="274"/>
      <c r="J4" s="275"/>
    </row>
    <row r="5" spans="1:10">
      <c r="B5" s="29" t="s">
        <v>155</v>
      </c>
      <c r="C5" s="279"/>
      <c r="D5" s="279"/>
      <c r="E5" s="268" t="s">
        <v>156</v>
      </c>
      <c r="F5" s="268"/>
      <c r="G5" s="268"/>
      <c r="H5" s="268"/>
      <c r="I5" s="268"/>
      <c r="J5" s="269"/>
    </row>
    <row r="6" spans="1:10">
      <c r="B6" s="29" t="s">
        <v>157</v>
      </c>
      <c r="C6" s="279"/>
      <c r="D6" s="279"/>
      <c r="E6" s="268" t="s">
        <v>158</v>
      </c>
      <c r="F6" s="268"/>
      <c r="G6" s="268"/>
      <c r="H6" s="268"/>
      <c r="I6" s="268"/>
      <c r="J6" s="269"/>
    </row>
    <row r="7" spans="1:10">
      <c r="B7" s="29" t="s">
        <v>159</v>
      </c>
      <c r="C7" s="279"/>
      <c r="D7" s="279"/>
      <c r="E7" s="268" t="s">
        <v>156</v>
      </c>
      <c r="F7" s="268"/>
      <c r="G7" s="268"/>
      <c r="H7" s="268"/>
      <c r="I7" s="268"/>
      <c r="J7" s="269"/>
    </row>
    <row r="8" spans="1:10" ht="15.75" thickBot="1">
      <c r="B8" s="30" t="s">
        <v>160</v>
      </c>
      <c r="C8" s="263"/>
      <c r="D8" s="263"/>
      <c r="E8" s="270" t="s">
        <v>156</v>
      </c>
      <c r="F8" s="270"/>
      <c r="G8" s="270"/>
      <c r="H8" s="270"/>
      <c r="I8" s="270"/>
      <c r="J8" s="271"/>
    </row>
    <row r="9" spans="1:10" ht="24.95" customHeight="1" thickBot="1">
      <c r="B9" s="22" t="s">
        <v>161</v>
      </c>
      <c r="C9" s="264" t="str">
        <f>IFERROR(IF(COUNT(C4:D7)&lt;&gt;4,"Renseigner toutes les cases ''Chauffage/ECS''",SUM(C4:D7)),"Renseigner toutes les cases ''Chauffage/ECS''")</f>
        <v>Renseigner toutes les cases ''Chauffage/ECS''</v>
      </c>
      <c r="D9" s="264"/>
      <c r="E9" s="272"/>
      <c r="F9" s="272"/>
      <c r="G9" s="272"/>
      <c r="H9" s="272"/>
      <c r="I9" s="272"/>
      <c r="J9" s="273"/>
    </row>
    <row r="10" spans="1:10">
      <c r="B10" s="31" t="s">
        <v>162</v>
      </c>
      <c r="C10" s="265"/>
      <c r="D10" s="265"/>
      <c r="E10" s="274" t="s">
        <v>163</v>
      </c>
      <c r="F10" s="274"/>
      <c r="G10" s="274"/>
      <c r="H10" s="274"/>
      <c r="I10" s="274"/>
      <c r="J10" s="275"/>
    </row>
    <row r="11" spans="1:10">
      <c r="B11" s="34" t="s">
        <v>164</v>
      </c>
      <c r="C11" s="260"/>
      <c r="D11" s="260"/>
      <c r="E11" s="268" t="s">
        <v>165</v>
      </c>
      <c r="F11" s="268"/>
      <c r="G11" s="268"/>
      <c r="H11" s="268"/>
      <c r="I11" s="268"/>
      <c r="J11" s="269"/>
    </row>
    <row r="12" spans="1:10">
      <c r="B12" s="29" t="s">
        <v>166</v>
      </c>
      <c r="C12" s="260"/>
      <c r="D12" s="260"/>
      <c r="E12" s="268" t="s">
        <v>167</v>
      </c>
      <c r="F12" s="268"/>
      <c r="G12" s="268"/>
      <c r="H12" s="268"/>
      <c r="I12" s="268"/>
      <c r="J12" s="269"/>
    </row>
    <row r="13" spans="1:10">
      <c r="B13" s="29" t="s">
        <v>168</v>
      </c>
      <c r="C13" s="260"/>
      <c r="D13" s="260"/>
      <c r="E13" s="268" t="s">
        <v>169</v>
      </c>
      <c r="F13" s="268"/>
      <c r="G13" s="268"/>
      <c r="H13" s="268"/>
      <c r="I13" s="268"/>
      <c r="J13" s="269"/>
    </row>
    <row r="14" spans="1:10">
      <c r="B14" s="29" t="s">
        <v>170</v>
      </c>
      <c r="C14" s="260"/>
      <c r="D14" s="260"/>
      <c r="E14" s="268" t="s">
        <v>171</v>
      </c>
      <c r="F14" s="268"/>
      <c r="G14" s="268"/>
      <c r="H14" s="268"/>
      <c r="I14" s="268"/>
      <c r="J14" s="269"/>
    </row>
    <row r="15" spans="1:10" ht="15.75" thickBot="1">
      <c r="B15" s="30" t="s">
        <v>172</v>
      </c>
      <c r="C15" s="266"/>
      <c r="D15" s="266"/>
      <c r="E15" s="270"/>
      <c r="F15" s="270"/>
      <c r="G15" s="270"/>
      <c r="H15" s="270"/>
      <c r="I15" s="270"/>
      <c r="J15" s="271"/>
    </row>
    <row r="16" spans="1:10" ht="15.75" thickBot="1">
      <c r="B16" s="35" t="s">
        <v>173</v>
      </c>
      <c r="C16" s="267"/>
      <c r="D16" s="267"/>
      <c r="E16" s="261" t="s">
        <v>174</v>
      </c>
      <c r="F16" s="261"/>
      <c r="G16" s="261"/>
      <c r="H16" s="261"/>
      <c r="I16" s="261"/>
      <c r="J16" s="262"/>
    </row>
    <row r="17" spans="1:19" s="7" customFormat="1" ht="26.25" customHeight="1">
      <c r="A17" s="24"/>
      <c r="B17" s="287" t="s">
        <v>175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4"/>
    </row>
    <row r="18" spans="1:19">
      <c r="B18" s="36"/>
      <c r="C18" s="36"/>
      <c r="D18" s="36"/>
      <c r="E18" s="36"/>
      <c r="F18" s="36"/>
    </row>
    <row r="20" spans="1:19" ht="15.75">
      <c r="A20" s="32" t="s">
        <v>176</v>
      </c>
    </row>
    <row r="21" spans="1:19" ht="13.5" customHeight="1" thickBot="1">
      <c r="A21" s="33" t="s">
        <v>151</v>
      </c>
    </row>
    <row r="22" spans="1:19" ht="57.75" customHeight="1" thickBot="1">
      <c r="C22" s="286" t="s">
        <v>177</v>
      </c>
      <c r="D22" s="280"/>
      <c r="E22" s="280" t="s">
        <v>153</v>
      </c>
      <c r="F22" s="280"/>
      <c r="G22" s="280"/>
      <c r="H22" s="280"/>
      <c r="I22" s="281"/>
      <c r="J22" s="313" t="s">
        <v>178</v>
      </c>
      <c r="K22" s="314"/>
      <c r="L22" s="315"/>
      <c r="M22" s="280" t="s">
        <v>153</v>
      </c>
      <c r="N22" s="280"/>
      <c r="O22" s="280"/>
      <c r="P22" s="280"/>
      <c r="Q22" s="280"/>
      <c r="R22" s="281"/>
    </row>
    <row r="23" spans="1:19">
      <c r="B23" s="37" t="s">
        <v>154</v>
      </c>
      <c r="C23" s="278"/>
      <c r="D23" s="278"/>
      <c r="E23" s="282"/>
      <c r="F23" s="282"/>
      <c r="G23" s="282"/>
      <c r="H23" s="282"/>
      <c r="I23" s="283"/>
      <c r="J23" s="316"/>
      <c r="K23" s="317"/>
      <c r="L23" s="318"/>
      <c r="M23" s="274"/>
      <c r="N23" s="274"/>
      <c r="O23" s="274"/>
      <c r="P23" s="274"/>
      <c r="Q23" s="274"/>
      <c r="R23" s="275"/>
    </row>
    <row r="24" spans="1:19">
      <c r="B24" s="38" t="s">
        <v>155</v>
      </c>
      <c r="C24" s="279"/>
      <c r="D24" s="279"/>
      <c r="E24" s="284"/>
      <c r="F24" s="284"/>
      <c r="G24" s="284"/>
      <c r="H24" s="284"/>
      <c r="I24" s="285"/>
      <c r="J24" s="295"/>
      <c r="K24" s="296"/>
      <c r="L24" s="297"/>
      <c r="M24" s="268" t="s">
        <v>156</v>
      </c>
      <c r="N24" s="268"/>
      <c r="O24" s="268"/>
      <c r="P24" s="268"/>
      <c r="Q24" s="268"/>
      <c r="R24" s="269"/>
    </row>
    <row r="25" spans="1:19">
      <c r="B25" s="38" t="s">
        <v>157</v>
      </c>
      <c r="C25" s="279"/>
      <c r="D25" s="279"/>
      <c r="E25" s="284"/>
      <c r="F25" s="284"/>
      <c r="G25" s="284"/>
      <c r="H25" s="284"/>
      <c r="I25" s="285"/>
      <c r="J25" s="295"/>
      <c r="K25" s="296"/>
      <c r="L25" s="297"/>
      <c r="M25" s="268" t="s">
        <v>158</v>
      </c>
      <c r="N25" s="268"/>
      <c r="O25" s="268"/>
      <c r="P25" s="268"/>
      <c r="Q25" s="268"/>
      <c r="R25" s="269"/>
    </row>
    <row r="26" spans="1:19">
      <c r="B26" s="38" t="s">
        <v>159</v>
      </c>
      <c r="C26" s="279"/>
      <c r="D26" s="279"/>
      <c r="E26" s="284"/>
      <c r="F26" s="284"/>
      <c r="G26" s="284"/>
      <c r="H26" s="284"/>
      <c r="I26" s="285"/>
      <c r="J26" s="295"/>
      <c r="K26" s="296"/>
      <c r="L26" s="297"/>
      <c r="M26" s="268" t="s">
        <v>156</v>
      </c>
      <c r="N26" s="268"/>
      <c r="O26" s="268"/>
      <c r="P26" s="268"/>
      <c r="Q26" s="268"/>
      <c r="R26" s="269"/>
    </row>
    <row r="27" spans="1:19" ht="15.75" thickBot="1">
      <c r="B27" s="39" t="s">
        <v>160</v>
      </c>
      <c r="C27" s="263"/>
      <c r="D27" s="263"/>
      <c r="E27" s="289"/>
      <c r="F27" s="289"/>
      <c r="G27" s="289"/>
      <c r="H27" s="289"/>
      <c r="I27" s="290"/>
      <c r="J27" s="298"/>
      <c r="K27" s="299"/>
      <c r="L27" s="300"/>
      <c r="M27" s="270" t="s">
        <v>156</v>
      </c>
      <c r="N27" s="270"/>
      <c r="O27" s="270"/>
      <c r="P27" s="270"/>
      <c r="Q27" s="270"/>
      <c r="R27" s="271"/>
    </row>
    <row r="28" spans="1:19" ht="24.95" customHeight="1" thickBot="1">
      <c r="B28" s="20" t="s">
        <v>161</v>
      </c>
      <c r="C28" s="264" t="str">
        <f>IFERROR(IF(COUNT(C23:D26)&lt;&gt;4,"Renseigner toutes les cases ''Chauffage/ECS''",SUM(C23:D26)),"Renseigner toutes les cases ''Chauffage/ECS''")</f>
        <v>Renseigner toutes les cases ''Chauffage/ECS''</v>
      </c>
      <c r="D28" s="264"/>
      <c r="E28" s="309"/>
      <c r="F28" s="309"/>
      <c r="G28" s="309"/>
      <c r="H28" s="309"/>
      <c r="I28" s="310"/>
      <c r="J28" s="301" t="str">
        <f>IFERROR(IF(COUNT(J23:K26)&lt;&gt;4,"Renseigner toutes les cases ''Chauffage/ECS''",SUM(J23:K26)),"Renseigner toutes les cases ''Chauffage/ECS''")</f>
        <v>Renseigner toutes les cases ''Chauffage/ECS''</v>
      </c>
      <c r="K28" s="302"/>
      <c r="L28" s="303"/>
      <c r="M28" s="309"/>
      <c r="N28" s="309"/>
      <c r="O28" s="309"/>
      <c r="P28" s="309"/>
      <c r="Q28" s="309"/>
      <c r="R28" s="310"/>
    </row>
    <row r="29" spans="1:19">
      <c r="B29" s="37" t="s">
        <v>162</v>
      </c>
      <c r="C29" s="265"/>
      <c r="D29" s="265"/>
      <c r="E29" s="282"/>
      <c r="F29" s="282"/>
      <c r="G29" s="282"/>
      <c r="H29" s="282"/>
      <c r="I29" s="283"/>
      <c r="J29" s="304"/>
      <c r="K29" s="305"/>
      <c r="L29" s="305"/>
      <c r="M29" s="274" t="s">
        <v>179</v>
      </c>
      <c r="N29" s="274"/>
      <c r="O29" s="274"/>
      <c r="P29" s="274"/>
      <c r="Q29" s="274"/>
      <c r="R29" s="275"/>
    </row>
    <row r="30" spans="1:19">
      <c r="B30" s="40" t="s">
        <v>164</v>
      </c>
      <c r="C30" s="260"/>
      <c r="D30" s="260"/>
      <c r="E30" s="284"/>
      <c r="F30" s="284"/>
      <c r="G30" s="284"/>
      <c r="H30" s="284"/>
      <c r="I30" s="285"/>
      <c r="J30" s="306"/>
      <c r="K30" s="260"/>
      <c r="L30" s="260"/>
      <c r="M30" s="268" t="s">
        <v>165</v>
      </c>
      <c r="N30" s="268"/>
      <c r="O30" s="268"/>
      <c r="P30" s="268"/>
      <c r="Q30" s="268"/>
      <c r="R30" s="269"/>
    </row>
    <row r="31" spans="1:19">
      <c r="B31" s="38" t="s">
        <v>166</v>
      </c>
      <c r="C31" s="260"/>
      <c r="D31" s="260"/>
      <c r="E31" s="284"/>
      <c r="F31" s="284"/>
      <c r="G31" s="284"/>
      <c r="H31" s="284"/>
      <c r="I31" s="285"/>
      <c r="J31" s="306"/>
      <c r="K31" s="260"/>
      <c r="L31" s="260"/>
      <c r="M31" s="268" t="s">
        <v>167</v>
      </c>
      <c r="N31" s="268"/>
      <c r="O31" s="268"/>
      <c r="P31" s="268"/>
      <c r="Q31" s="268"/>
      <c r="R31" s="269"/>
    </row>
    <row r="32" spans="1:19">
      <c r="B32" s="38" t="s">
        <v>168</v>
      </c>
      <c r="C32" s="260"/>
      <c r="D32" s="260"/>
      <c r="E32" s="268" t="s">
        <v>180</v>
      </c>
      <c r="F32" s="268"/>
      <c r="G32" s="268"/>
      <c r="H32" s="268"/>
      <c r="I32" s="269"/>
      <c r="J32" s="306"/>
      <c r="K32" s="260"/>
      <c r="L32" s="260"/>
      <c r="M32" s="268" t="s">
        <v>169</v>
      </c>
      <c r="N32" s="268"/>
      <c r="O32" s="268"/>
      <c r="P32" s="268"/>
      <c r="Q32" s="268"/>
      <c r="R32" s="269"/>
    </row>
    <row r="33" spans="1:19">
      <c r="B33" s="38" t="s">
        <v>170</v>
      </c>
      <c r="C33" s="260"/>
      <c r="D33" s="260"/>
      <c r="E33" s="284"/>
      <c r="F33" s="284"/>
      <c r="G33" s="284"/>
      <c r="H33" s="284"/>
      <c r="I33" s="285"/>
      <c r="J33" s="306"/>
      <c r="K33" s="260"/>
      <c r="L33" s="260"/>
      <c r="M33" s="268" t="s">
        <v>171</v>
      </c>
      <c r="N33" s="268"/>
      <c r="O33" s="268"/>
      <c r="P33" s="268"/>
      <c r="Q33" s="268"/>
      <c r="R33" s="269"/>
    </row>
    <row r="34" spans="1:19" ht="15.75" thickBot="1">
      <c r="B34" s="39" t="s">
        <v>172</v>
      </c>
      <c r="C34" s="266"/>
      <c r="D34" s="266"/>
      <c r="E34" s="289"/>
      <c r="F34" s="289"/>
      <c r="G34" s="289"/>
      <c r="H34" s="289"/>
      <c r="I34" s="290"/>
      <c r="J34" s="307"/>
      <c r="K34" s="308"/>
      <c r="L34" s="308"/>
      <c r="M34" s="270"/>
      <c r="N34" s="270"/>
      <c r="O34" s="270"/>
      <c r="P34" s="270"/>
      <c r="Q34" s="270"/>
      <c r="R34" s="271"/>
    </row>
    <row r="35" spans="1:19" ht="24.95" customHeight="1" thickBot="1">
      <c r="B35" s="21" t="s">
        <v>181</v>
      </c>
      <c r="C35" s="288"/>
      <c r="D35" s="288"/>
      <c r="E35" s="291" t="s">
        <v>182</v>
      </c>
      <c r="F35" s="291"/>
      <c r="G35" s="291"/>
      <c r="H35" s="291"/>
      <c r="I35" s="292"/>
      <c r="J35" s="293"/>
      <c r="K35" s="294"/>
      <c r="L35" s="294"/>
      <c r="M35" s="319" t="s">
        <v>174</v>
      </c>
      <c r="N35" s="319"/>
      <c r="O35" s="319"/>
      <c r="P35" s="319"/>
      <c r="Q35" s="319"/>
      <c r="R35" s="320"/>
    </row>
    <row r="36" spans="1:19" s="7" customFormat="1">
      <c r="A36" s="24"/>
      <c r="B36" s="287" t="s">
        <v>183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4"/>
    </row>
    <row r="40" spans="1:19">
      <c r="B40" s="41" t="s">
        <v>184</v>
      </c>
    </row>
    <row r="41" spans="1:19" ht="15.75" thickBot="1"/>
    <row r="42" spans="1:19" ht="15.75" thickBot="1">
      <c r="C42" s="45" t="s">
        <v>185</v>
      </c>
      <c r="D42" s="46" t="s">
        <v>186</v>
      </c>
      <c r="E42" s="46" t="s">
        <v>187</v>
      </c>
      <c r="F42" s="46" t="s">
        <v>188</v>
      </c>
      <c r="G42" s="46" t="s">
        <v>189</v>
      </c>
      <c r="H42" s="46" t="s">
        <v>190</v>
      </c>
      <c r="I42" s="46" t="s">
        <v>191</v>
      </c>
      <c r="J42" s="46" t="s">
        <v>192</v>
      </c>
      <c r="K42" s="46" t="s">
        <v>193</v>
      </c>
      <c r="L42" s="46" t="s">
        <v>194</v>
      </c>
      <c r="M42" s="46" t="s">
        <v>195</v>
      </c>
      <c r="N42" s="47" t="s">
        <v>196</v>
      </c>
      <c r="O42" s="48" t="s">
        <v>197</v>
      </c>
    </row>
    <row r="43" spans="1:19">
      <c r="B43" s="65" t="s">
        <v>198</v>
      </c>
      <c r="C43" s="49">
        <v>6.37</v>
      </c>
      <c r="D43" s="50">
        <v>5.93</v>
      </c>
      <c r="E43" s="50">
        <v>6.28</v>
      </c>
      <c r="F43" s="50">
        <v>5.87</v>
      </c>
      <c r="G43" s="50">
        <v>5.81</v>
      </c>
      <c r="H43" s="50">
        <v>5.51</v>
      </c>
      <c r="I43" s="50">
        <v>5.53</v>
      </c>
      <c r="J43" s="50">
        <v>5.07</v>
      </c>
      <c r="K43" s="50">
        <v>5.71</v>
      </c>
      <c r="L43" s="50">
        <v>5.81</v>
      </c>
      <c r="M43" s="50">
        <v>5.87</v>
      </c>
      <c r="N43" s="51">
        <v>6.28</v>
      </c>
      <c r="O43" s="52">
        <f>SUM(C43:N43)</f>
        <v>70.040000000000006</v>
      </c>
    </row>
    <row r="44" spans="1:19">
      <c r="B44" s="66" t="s">
        <v>199</v>
      </c>
      <c r="C44" s="53">
        <v>18.5</v>
      </c>
      <c r="D44" s="43">
        <v>11.93</v>
      </c>
      <c r="E44" s="43">
        <v>6.1</v>
      </c>
      <c r="F44" s="43">
        <v>3.45</v>
      </c>
      <c r="G44" s="43">
        <v>0.72</v>
      </c>
      <c r="H44" s="43">
        <v>0</v>
      </c>
      <c r="I44" s="43">
        <v>0</v>
      </c>
      <c r="J44" s="43">
        <v>0</v>
      </c>
      <c r="K44" s="43">
        <v>0</v>
      </c>
      <c r="L44" s="43">
        <v>3.42</v>
      </c>
      <c r="M44" s="43">
        <v>11.53</v>
      </c>
      <c r="N44" s="44">
        <v>18.04</v>
      </c>
      <c r="O44" s="54">
        <f>SUM(C44:N44)</f>
        <v>73.69</v>
      </c>
    </row>
    <row r="45" spans="1:19" ht="30.75" thickBot="1">
      <c r="B45" s="68" t="s">
        <v>200</v>
      </c>
      <c r="C45" s="55">
        <v>4.68</v>
      </c>
      <c r="D45" s="56">
        <v>3.38</v>
      </c>
      <c r="E45" s="56">
        <v>2.4700000000000002</v>
      </c>
      <c r="F45" s="56">
        <v>1.91</v>
      </c>
      <c r="G45" s="56">
        <v>1.44</v>
      </c>
      <c r="H45" s="56">
        <v>1.25</v>
      </c>
      <c r="I45" s="56">
        <v>1.36</v>
      </c>
      <c r="J45" s="56">
        <v>1.19</v>
      </c>
      <c r="K45" s="56">
        <v>1.67</v>
      </c>
      <c r="L45" s="56">
        <v>1.92</v>
      </c>
      <c r="M45" s="56">
        <v>3.34</v>
      </c>
      <c r="N45" s="57">
        <v>4.58</v>
      </c>
      <c r="O45" s="58">
        <f t="shared" ref="O45:O46" si="0">SUM(C45:N45)</f>
        <v>29.190000000000005</v>
      </c>
    </row>
    <row r="46" spans="1:19" ht="16.5" thickTop="1" thickBot="1">
      <c r="B46" s="67" t="s">
        <v>201</v>
      </c>
      <c r="C46" s="59">
        <f>SUM(C43:C45)</f>
        <v>29.55</v>
      </c>
      <c r="D46" s="60">
        <f t="shared" ref="D46:N46" si="1">SUM(D43:D45)</f>
        <v>21.24</v>
      </c>
      <c r="E46" s="60">
        <f t="shared" si="1"/>
        <v>14.85</v>
      </c>
      <c r="F46" s="60">
        <f t="shared" si="1"/>
        <v>11.23</v>
      </c>
      <c r="G46" s="60">
        <f t="shared" si="1"/>
        <v>7.9699999999999989</v>
      </c>
      <c r="H46" s="60">
        <f t="shared" si="1"/>
        <v>6.76</v>
      </c>
      <c r="I46" s="60">
        <f t="shared" si="1"/>
        <v>6.8900000000000006</v>
      </c>
      <c r="J46" s="60">
        <f t="shared" si="1"/>
        <v>6.26</v>
      </c>
      <c r="K46" s="60">
        <f t="shared" si="1"/>
        <v>7.38</v>
      </c>
      <c r="L46" s="60">
        <f t="shared" si="1"/>
        <v>11.15</v>
      </c>
      <c r="M46" s="60">
        <f t="shared" si="1"/>
        <v>20.74</v>
      </c>
      <c r="N46" s="61">
        <f t="shared" si="1"/>
        <v>28.9</v>
      </c>
      <c r="O46" s="62">
        <f t="shared" si="0"/>
        <v>172.92000000000002</v>
      </c>
    </row>
    <row r="71" spans="1:29" customFormat="1" ht="15.75">
      <c r="A71" s="169" t="s">
        <v>202</v>
      </c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73" t="s">
        <v>203</v>
      </c>
      <c r="Q71" s="172" t="s">
        <v>1</v>
      </c>
      <c r="R71" s="160" t="s">
        <v>204</v>
      </c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</row>
    <row r="72" spans="1:29">
      <c r="P72" s="173" t="s">
        <v>205</v>
      </c>
      <c r="Q72" s="172" t="s">
        <v>8</v>
      </c>
    </row>
    <row r="73" spans="1:29" customFormat="1" ht="168.75">
      <c r="A73" s="164" t="s">
        <v>206</v>
      </c>
      <c r="B73" s="164" t="s">
        <v>207</v>
      </c>
      <c r="C73" s="164" t="s">
        <v>208</v>
      </c>
      <c r="D73" s="166" t="s">
        <v>209</v>
      </c>
      <c r="E73" s="165" t="s">
        <v>210</v>
      </c>
      <c r="F73" s="162" t="s">
        <v>211</v>
      </c>
      <c r="G73" s="162" t="s">
        <v>212</v>
      </c>
      <c r="H73" s="164" t="s">
        <v>213</v>
      </c>
      <c r="I73" s="164" t="s">
        <v>214</v>
      </c>
      <c r="J73" s="171" t="s">
        <v>215</v>
      </c>
      <c r="K73" s="171" t="s">
        <v>216</v>
      </c>
      <c r="L73" s="164" t="s">
        <v>217</v>
      </c>
      <c r="M73" s="170" t="s">
        <v>218</v>
      </c>
    </row>
    <row r="74" spans="1:29" customFormat="1" ht="24.75" customHeight="1">
      <c r="A74" s="168"/>
      <c r="B74" s="168" t="s">
        <v>20</v>
      </c>
      <c r="C74" s="168">
        <v>375</v>
      </c>
      <c r="D74" s="216">
        <v>60</v>
      </c>
      <c r="E74" s="216">
        <v>30</v>
      </c>
      <c r="F74" s="216">
        <v>30</v>
      </c>
      <c r="G74" s="217">
        <v>0</v>
      </c>
      <c r="H74" s="218">
        <f t="shared" ref="H74:H77" si="2">IFERROR(E74/C74*1000,"")</f>
        <v>80</v>
      </c>
      <c r="I74" s="216"/>
      <c r="J74" s="219"/>
      <c r="K74" s="216"/>
      <c r="L74" s="213">
        <f>IFERROR(VLOOKUP(B74,'Données efficacité energétique'!$A$5:$M$17,'Données efficacité energétique'!$B$3,FALSE)*(VLOOKUP(B74,'Données efficacité energétique'!$A$5:$M$17,HLOOKUP('Tableau 1 Besoins'!$Q$71,'Données efficacité energétique'!$C$2:$M$3,'Données efficacité energétique'!$Q$3,FALSE),FALSE)+VLOOKUP(B74,'Données efficacité energétique'!$A$5:$M$17,HLOOKUP('Tableau 1 Besoins'!$Q$72,'Données efficacité energétique'!$C$2:$M$3,'Données efficacité energétique'!$Q$3,FALSE),FALSE))*C74/1000,"")</f>
        <v>46.3125</v>
      </c>
      <c r="M74" s="212" t="str">
        <f t="shared" ref="M74:M77" si="3">IFERROR(IF(G74/F74&gt;0.3,"Vigilance ECS ","")&amp; IF(F74&gt;L74,"faible efficacité énergétique",""), IF(F74&gt;L74,"faible efficacité énergétique",""))</f>
        <v/>
      </c>
    </row>
    <row r="75" spans="1:29" customFormat="1" ht="24.75" customHeight="1">
      <c r="A75" s="168"/>
      <c r="B75" s="168" t="s">
        <v>24</v>
      </c>
      <c r="C75" s="168">
        <v>200</v>
      </c>
      <c r="D75" s="216">
        <v>100</v>
      </c>
      <c r="E75" s="216">
        <v>90</v>
      </c>
      <c r="F75" s="216">
        <v>85</v>
      </c>
      <c r="G75" s="217">
        <v>5</v>
      </c>
      <c r="H75" s="218">
        <f t="shared" si="2"/>
        <v>450</v>
      </c>
      <c r="I75" s="216"/>
      <c r="J75" s="219"/>
      <c r="K75" s="216"/>
      <c r="L75" s="214">
        <f>IFERROR(VLOOKUP(B75,'Données efficacité energétique'!$A$5:$M$17,'Données efficacité energétique'!$B$3,FALSE)*(VLOOKUP(B75,'Données efficacité energétique'!$A$5:$M$17,HLOOKUP('Tableau 1 Besoins'!$Q$71,'Données efficacité energétique'!$C$2:$M$3,'Données efficacité energétique'!$Q$3,FALSE),FALSE)+VLOOKUP(B75,'Données efficacité energétique'!$A$5:$M$17,HLOOKUP('Tableau 1 Besoins'!$Q$72,'Données efficacité energétique'!$C$2:$M$3,'Données efficacité energétique'!$Q$3,FALSE),FALSE))*C75/1000,"")</f>
        <v>21.06</v>
      </c>
      <c r="M75" s="212" t="str">
        <f t="shared" si="3"/>
        <v>faible efficacité énergétique</v>
      </c>
    </row>
    <row r="76" spans="1:29" customFormat="1" ht="24.75" customHeight="1">
      <c r="A76" s="168"/>
      <c r="B76" s="168" t="s">
        <v>22</v>
      </c>
      <c r="C76" s="168">
        <v>300</v>
      </c>
      <c r="D76" s="216">
        <v>50</v>
      </c>
      <c r="E76" s="216">
        <v>30</v>
      </c>
      <c r="F76" s="216">
        <v>15</v>
      </c>
      <c r="G76" s="217">
        <v>15</v>
      </c>
      <c r="H76" s="218">
        <f t="shared" si="2"/>
        <v>100</v>
      </c>
      <c r="I76" s="216"/>
      <c r="J76" s="219"/>
      <c r="K76" s="216"/>
      <c r="L76" s="214">
        <f>IFERROR(VLOOKUP(B76,'Données efficacité energétique'!$A$5:$M$17,'Données efficacité energétique'!$B$3,FALSE)*(VLOOKUP(B76,'Données efficacité energétique'!$A$5:$M$17,HLOOKUP('Tableau 1 Besoins'!$Q$71,'Données efficacité energétique'!$C$2:$M$3,'Données efficacité energétique'!$Q$3,FALSE),FALSE)+VLOOKUP(B76,'Données efficacité energétique'!$A$5:$M$17,HLOOKUP('Tableau 1 Besoins'!$Q$72,'Données efficacité energétique'!$C$2:$M$3,'Données efficacité energétique'!$Q$3,FALSE),FALSE))*C76/1000,"")</f>
        <v>24.42</v>
      </c>
      <c r="M76" s="212" t="str">
        <f t="shared" si="3"/>
        <v xml:space="preserve">Vigilance ECS </v>
      </c>
    </row>
    <row r="77" spans="1:29" customFormat="1" ht="24.75" customHeight="1">
      <c r="A77" s="168"/>
      <c r="B77" s="168"/>
      <c r="C77" s="168"/>
      <c r="D77" s="216"/>
      <c r="E77" s="216"/>
      <c r="F77" s="216"/>
      <c r="G77" s="217"/>
      <c r="H77" s="218" t="str">
        <f t="shared" si="2"/>
        <v/>
      </c>
      <c r="I77" s="216"/>
      <c r="J77" s="219"/>
      <c r="K77" s="216"/>
      <c r="L77" s="214" t="str">
        <f>IFERROR(VLOOKUP(B77,'Données efficacité energétique'!$A$5:$M$17,'Données efficacité energétique'!$B$3,FALSE)*(VLOOKUP(B77,'Données efficacité energétique'!$A$5:$M$17,HLOOKUP('Tableau 1 Besoins'!$Q$71,'Données efficacité energétique'!$C$2:$M$3,'Données efficacité energétique'!$Q$3,FALSE),FALSE)+VLOOKUP(B77,'Données efficacité energétique'!$A$5:$M$17,HLOOKUP('Tableau 1 Besoins'!$Q$72,'Données efficacité energétique'!$C$2:$M$3,'Données efficacité energétique'!$Q$3,FALSE),FALSE))*C77/1000,"")</f>
        <v/>
      </c>
      <c r="M77" s="212" t="str">
        <f t="shared" si="3"/>
        <v/>
      </c>
    </row>
    <row r="78" spans="1:29" customFormat="1">
      <c r="A78" s="164" t="s">
        <v>219</v>
      </c>
      <c r="B78" s="164"/>
      <c r="C78" s="162">
        <f t="shared" ref="C78:I78" si="4">SUM(C74:C77)</f>
        <v>875</v>
      </c>
      <c r="D78" s="220">
        <f t="shared" si="4"/>
        <v>210</v>
      </c>
      <c r="E78" s="221">
        <f t="shared" si="4"/>
        <v>150</v>
      </c>
      <c r="F78" s="222">
        <f t="shared" si="4"/>
        <v>130</v>
      </c>
      <c r="G78" s="222">
        <f t="shared" si="4"/>
        <v>20</v>
      </c>
      <c r="H78" s="222">
        <f t="shared" si="4"/>
        <v>630</v>
      </c>
      <c r="I78" s="222">
        <f t="shared" si="4"/>
        <v>0</v>
      </c>
      <c r="J78" s="223">
        <f>SUM(J74:J75)</f>
        <v>0</v>
      </c>
      <c r="K78" s="223">
        <f>SUM(K74:K75)</f>
        <v>0</v>
      </c>
      <c r="L78" s="215">
        <f>SUM(L74:L77)</f>
        <v>91.792500000000004</v>
      </c>
      <c r="M78" s="210"/>
    </row>
    <row r="79" spans="1:29" customFormat="1">
      <c r="A79" s="167"/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</row>
    <row r="80" spans="1:29" customFormat="1">
      <c r="A80" s="160"/>
      <c r="B80" s="160"/>
      <c r="C80" s="161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</row>
    <row r="81" spans="1:30" customFormat="1">
      <c r="A81" s="160"/>
      <c r="B81" s="160"/>
      <c r="C81" s="161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</row>
    <row r="82" spans="1:30" customFormat="1">
      <c r="A82" s="160"/>
      <c r="B82" s="160"/>
      <c r="C82" s="161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</row>
    <row r="83" spans="1:30" customFormat="1">
      <c r="A83" s="160"/>
      <c r="B83" s="160"/>
      <c r="C83" s="161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</row>
    <row r="84" spans="1:30" customFormat="1" ht="23.1" customHeight="1">
      <c r="A84" s="160"/>
      <c r="B84" s="160"/>
      <c r="C84" s="161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</row>
    <row r="85" spans="1:30" customFormat="1" ht="20.100000000000001" customHeight="1">
      <c r="A85" s="160"/>
      <c r="B85" s="160"/>
      <c r="C85" s="161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</row>
    <row r="86" spans="1:30" customFormat="1">
      <c r="A86" s="160"/>
      <c r="B86" s="160"/>
      <c r="C86" s="161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</row>
    <row r="87" spans="1:30" customFormat="1">
      <c r="A87" s="160"/>
      <c r="B87" s="160"/>
      <c r="C87" s="161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</row>
    <row r="88" spans="1:30" customFormat="1">
      <c r="A88" s="160"/>
      <c r="B88" s="160"/>
      <c r="C88" s="161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</row>
    <row r="89" spans="1:30" customFormat="1">
      <c r="A89" s="160"/>
      <c r="B89" s="160"/>
      <c r="C89" s="161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</row>
    <row r="90" spans="1:30" customFormat="1">
      <c r="A90" s="160"/>
      <c r="B90" s="160"/>
      <c r="C90" s="161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</row>
    <row r="91" spans="1:30" customFormat="1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</row>
  </sheetData>
  <mergeCells count="86">
    <mergeCell ref="B36:R36"/>
    <mergeCell ref="M22:R22"/>
    <mergeCell ref="M23:R23"/>
    <mergeCell ref="M24:R24"/>
    <mergeCell ref="M25:R25"/>
    <mergeCell ref="J22:L22"/>
    <mergeCell ref="J23:L23"/>
    <mergeCell ref="J24:L24"/>
    <mergeCell ref="J25:L25"/>
    <mergeCell ref="M26:R26"/>
    <mergeCell ref="M32:R32"/>
    <mergeCell ref="M33:R33"/>
    <mergeCell ref="M34:R34"/>
    <mergeCell ref="M30:R30"/>
    <mergeCell ref="M31:R31"/>
    <mergeCell ref="M35:R35"/>
    <mergeCell ref="E11:J11"/>
    <mergeCell ref="E12:J12"/>
    <mergeCell ref="E3:J3"/>
    <mergeCell ref="E4:J4"/>
    <mergeCell ref="E5:J5"/>
    <mergeCell ref="E6:J6"/>
    <mergeCell ref="E7:J7"/>
    <mergeCell ref="M27:R27"/>
    <mergeCell ref="M28:R28"/>
    <mergeCell ref="M29:R29"/>
    <mergeCell ref="E26:I26"/>
    <mergeCell ref="E27:I27"/>
    <mergeCell ref="E28:I28"/>
    <mergeCell ref="E29:I29"/>
    <mergeCell ref="E35:I35"/>
    <mergeCell ref="J35:L3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B17:R17"/>
    <mergeCell ref="C35:D35"/>
    <mergeCell ref="C26:D26"/>
    <mergeCell ref="C27:D27"/>
    <mergeCell ref="C28:D28"/>
    <mergeCell ref="C29:D29"/>
    <mergeCell ref="C30:D30"/>
    <mergeCell ref="E30:I30"/>
    <mergeCell ref="C31:D31"/>
    <mergeCell ref="C32:D32"/>
    <mergeCell ref="C33:D33"/>
    <mergeCell ref="C34:D34"/>
    <mergeCell ref="E31:I31"/>
    <mergeCell ref="E32:I32"/>
    <mergeCell ref="E33:I33"/>
    <mergeCell ref="E34:I34"/>
    <mergeCell ref="C24:D24"/>
    <mergeCell ref="C25:D25"/>
    <mergeCell ref="E22:I22"/>
    <mergeCell ref="E23:I23"/>
    <mergeCell ref="E24:I24"/>
    <mergeCell ref="C22:D22"/>
    <mergeCell ref="C23:D23"/>
    <mergeCell ref="E25:I25"/>
    <mergeCell ref="C3:D3"/>
    <mergeCell ref="C4:D4"/>
    <mergeCell ref="C5:D5"/>
    <mergeCell ref="C6:D6"/>
    <mergeCell ref="C7:D7"/>
    <mergeCell ref="C13:D13"/>
    <mergeCell ref="E16:J16"/>
    <mergeCell ref="C8:D8"/>
    <mergeCell ref="C9:D9"/>
    <mergeCell ref="C10:D10"/>
    <mergeCell ref="C11:D11"/>
    <mergeCell ref="C12:D12"/>
    <mergeCell ref="C14:D14"/>
    <mergeCell ref="C15:D15"/>
    <mergeCell ref="C16:D16"/>
    <mergeCell ref="E13:J13"/>
    <mergeCell ref="E14:J14"/>
    <mergeCell ref="E15:J15"/>
    <mergeCell ref="E8:J8"/>
    <mergeCell ref="E9:J9"/>
    <mergeCell ref="E10:J10"/>
  </mergeCells>
  <phoneticPr fontId="8" type="noConversion"/>
  <conditionalFormatting sqref="F74:F78">
    <cfRule type="expression" dxfId="0" priority="1">
      <formula>F74&gt;L74</formula>
    </cfRule>
  </conditionalFormatting>
  <dataValidations disablePrompts="1" count="2">
    <dataValidation type="list" allowBlank="1" showInputMessage="1" showErrorMessage="1" sqref="E15 E34 M34" xr:uid="{00000000-0002-0000-0200-000000000000}">
      <formula1>#REF!</formula1>
    </dataValidation>
    <dataValidation type="list" allowBlank="1" showInputMessage="1" showErrorMessage="1" sqref="E23:E27" xr:uid="{00000000-0002-0000-0200-000001000000}">
      <formula1>Liste_Besoins</formula1>
    </dataValidation>
  </dataValidations>
  <pageMargins left="0.7" right="0.7" top="0.75" bottom="0.75" header="0.3" footer="0.3"/>
  <pageSetup paperSize="9" orientation="portrait" r:id="rId1"/>
  <ignoredErrors>
    <ignoredError sqref="L78:M78 M74:M77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F5F8EE28-11DB-4A10-9819-FBD535BC40B8}">
          <x14:formula1>
            <xm:f>'Données efficacité energétique'!$Y$3:$Y$10</xm:f>
          </x14:formula1>
          <xm:sqref>Q71</xm:sqref>
        </x14:dataValidation>
        <x14:dataValidation type="list" allowBlank="1" showInputMessage="1" showErrorMessage="1" xr:uid="{7FA5895C-D0BC-4467-9F4E-8BC240A0039E}">
          <x14:formula1>
            <xm:f>'Données efficacité energétique'!$AA$3:$AA$13</xm:f>
          </x14:formula1>
          <xm:sqref>B74:B77</xm:sqref>
        </x14:dataValidation>
        <x14:dataValidation type="list" allowBlank="1" showInputMessage="1" showErrorMessage="1" xr:uid="{47551FDE-D5F9-4C14-AA50-3A512E086EED}">
          <x14:formula1>
            <xm:f>'Données efficacité energétique'!$Z$3:$Z$5</xm:f>
          </x14:formula1>
          <xm:sqref>Q72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>
    <tabColor theme="5" tint="-0.249977111117893"/>
  </sheetPr>
  <dimension ref="A1:S35"/>
  <sheetViews>
    <sheetView zoomScale="115" zoomScaleNormal="115" workbookViewId="0"/>
  </sheetViews>
  <sheetFormatPr baseColWidth="10" defaultColWidth="11.42578125" defaultRowHeight="15"/>
  <cols>
    <col min="1" max="1" width="3.7109375" style="7" customWidth="1"/>
    <col min="2" max="2" width="11.42578125" style="7"/>
    <col min="3" max="9" width="8.7109375" style="7" customWidth="1"/>
    <col min="10" max="12" width="13.42578125" style="7" customWidth="1"/>
    <col min="13" max="17" width="9.7109375" style="7" customWidth="1"/>
    <col min="18" max="16384" width="11.42578125" style="7"/>
  </cols>
  <sheetData>
    <row r="1" spans="1:19" ht="15.75">
      <c r="A1" s="23" t="s">
        <v>220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>
      <c r="A2" s="25" t="s">
        <v>221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5.75" thickBot="1">
      <c r="A3" s="24"/>
      <c r="B3" s="24"/>
      <c r="C3" s="6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79.5" customHeight="1" thickBot="1">
      <c r="A4" s="24"/>
      <c r="B4" s="26"/>
      <c r="C4" s="315" t="s">
        <v>222</v>
      </c>
      <c r="D4" s="327"/>
      <c r="E4" s="327"/>
      <c r="F4" s="327"/>
      <c r="G4" s="327"/>
      <c r="H4" s="327"/>
      <c r="I4" s="327"/>
      <c r="J4" s="327" t="s">
        <v>223</v>
      </c>
      <c r="K4" s="327"/>
      <c r="L4" s="327"/>
      <c r="M4" s="341" t="s">
        <v>224</v>
      </c>
      <c r="N4" s="314"/>
      <c r="O4" s="314"/>
      <c r="P4" s="314"/>
      <c r="Q4" s="314"/>
      <c r="R4" s="342"/>
      <c r="S4" s="24"/>
    </row>
    <row r="5" spans="1:19" ht="23.25" customHeight="1">
      <c r="A5" s="24"/>
      <c r="B5" s="324" t="s">
        <v>225</v>
      </c>
      <c r="C5" s="328" t="s">
        <v>226</v>
      </c>
      <c r="D5" s="328"/>
      <c r="E5" s="328"/>
      <c r="F5" s="328"/>
      <c r="G5" s="328"/>
      <c r="H5" s="328"/>
      <c r="I5" s="328"/>
      <c r="J5" s="329"/>
      <c r="K5" s="329"/>
      <c r="L5" s="329"/>
      <c r="M5" s="337" t="s">
        <v>227</v>
      </c>
      <c r="N5" s="337"/>
      <c r="O5" s="337"/>
      <c r="P5" s="337"/>
      <c r="Q5" s="337"/>
      <c r="R5" s="338"/>
      <c r="S5" s="24"/>
    </row>
    <row r="6" spans="1:19">
      <c r="A6" s="24"/>
      <c r="B6" s="325"/>
      <c r="C6" s="321" t="s">
        <v>228</v>
      </c>
      <c r="D6" s="321"/>
      <c r="E6" s="321"/>
      <c r="F6" s="321"/>
      <c r="G6" s="321"/>
      <c r="H6" s="321"/>
      <c r="I6" s="321"/>
      <c r="J6" s="330"/>
      <c r="K6" s="330"/>
      <c r="L6" s="330"/>
      <c r="M6" s="343" t="s">
        <v>227</v>
      </c>
      <c r="N6" s="343"/>
      <c r="O6" s="343"/>
      <c r="P6" s="343"/>
      <c r="Q6" s="343"/>
      <c r="R6" s="344"/>
      <c r="S6" s="24"/>
    </row>
    <row r="7" spans="1:19">
      <c r="A7" s="24"/>
      <c r="B7" s="325"/>
      <c r="C7" s="321" t="s">
        <v>229</v>
      </c>
      <c r="D7" s="321"/>
      <c r="E7" s="321"/>
      <c r="F7" s="321"/>
      <c r="G7" s="321"/>
      <c r="H7" s="321"/>
      <c r="I7" s="321"/>
      <c r="J7" s="331"/>
      <c r="K7" s="331"/>
      <c r="L7" s="331"/>
      <c r="M7" s="343"/>
      <c r="N7" s="343"/>
      <c r="O7" s="343"/>
      <c r="P7" s="343"/>
      <c r="Q7" s="343"/>
      <c r="R7" s="344"/>
      <c r="S7" s="24"/>
    </row>
    <row r="8" spans="1:19">
      <c r="A8" s="24"/>
      <c r="B8" s="325"/>
      <c r="C8" s="321" t="s">
        <v>230</v>
      </c>
      <c r="D8" s="321"/>
      <c r="E8" s="321"/>
      <c r="F8" s="321"/>
      <c r="G8" s="321"/>
      <c r="H8" s="321"/>
      <c r="I8" s="321"/>
      <c r="J8" s="331"/>
      <c r="K8" s="331"/>
      <c r="L8" s="331"/>
      <c r="M8" s="343"/>
      <c r="N8" s="343"/>
      <c r="O8" s="343"/>
      <c r="P8" s="343"/>
      <c r="Q8" s="343"/>
      <c r="R8" s="344"/>
      <c r="S8" s="24"/>
    </row>
    <row r="9" spans="1:19">
      <c r="A9" s="24"/>
      <c r="B9" s="325"/>
      <c r="C9" s="321" t="s">
        <v>231</v>
      </c>
      <c r="D9" s="321"/>
      <c r="E9" s="321"/>
      <c r="F9" s="321"/>
      <c r="G9" s="321"/>
      <c r="H9" s="321"/>
      <c r="I9" s="321"/>
      <c r="J9" s="330"/>
      <c r="K9" s="330"/>
      <c r="L9" s="330"/>
      <c r="M9" s="343"/>
      <c r="N9" s="343"/>
      <c r="O9" s="343"/>
      <c r="P9" s="343"/>
      <c r="Q9" s="343"/>
      <c r="R9" s="344"/>
      <c r="S9" s="24"/>
    </row>
    <row r="10" spans="1:19">
      <c r="A10" s="24"/>
      <c r="B10" s="325"/>
      <c r="C10" s="321" t="s">
        <v>232</v>
      </c>
      <c r="D10" s="321"/>
      <c r="E10" s="321"/>
      <c r="F10" s="321"/>
      <c r="G10" s="321"/>
      <c r="H10" s="321"/>
      <c r="I10" s="321"/>
      <c r="J10" s="335"/>
      <c r="K10" s="335"/>
      <c r="L10" s="335"/>
      <c r="M10" s="343" t="s">
        <v>233</v>
      </c>
      <c r="N10" s="343"/>
      <c r="O10" s="343"/>
      <c r="P10" s="343"/>
      <c r="Q10" s="343"/>
      <c r="R10" s="344"/>
      <c r="S10" s="24"/>
    </row>
    <row r="11" spans="1:19">
      <c r="A11" s="24"/>
      <c r="B11" s="325"/>
      <c r="C11" s="321" t="s">
        <v>234</v>
      </c>
      <c r="D11" s="321"/>
      <c r="E11" s="321"/>
      <c r="F11" s="321"/>
      <c r="G11" s="321"/>
      <c r="H11" s="321"/>
      <c r="I11" s="321"/>
      <c r="J11" s="335"/>
      <c r="K11" s="335"/>
      <c r="L11" s="335"/>
      <c r="M11" s="343"/>
      <c r="N11" s="343"/>
      <c r="O11" s="343"/>
      <c r="P11" s="343"/>
      <c r="Q11" s="343"/>
      <c r="R11" s="344"/>
      <c r="S11" s="24"/>
    </row>
    <row r="12" spans="1:19">
      <c r="A12" s="24"/>
      <c r="B12" s="325"/>
      <c r="C12" s="321" t="s">
        <v>235</v>
      </c>
      <c r="D12" s="321"/>
      <c r="E12" s="321"/>
      <c r="F12" s="321"/>
      <c r="G12" s="321"/>
      <c r="H12" s="321"/>
      <c r="I12" s="321"/>
      <c r="J12" s="336"/>
      <c r="K12" s="336"/>
      <c r="L12" s="336"/>
      <c r="M12" s="343"/>
      <c r="N12" s="343"/>
      <c r="O12" s="343"/>
      <c r="P12" s="343"/>
      <c r="Q12" s="343"/>
      <c r="R12" s="344"/>
      <c r="S12" s="24"/>
    </row>
    <row r="13" spans="1:19">
      <c r="A13" s="24"/>
      <c r="B13" s="325"/>
      <c r="C13" s="321" t="s">
        <v>236</v>
      </c>
      <c r="D13" s="321"/>
      <c r="E13" s="321"/>
      <c r="F13" s="321"/>
      <c r="G13" s="321"/>
      <c r="H13" s="321"/>
      <c r="I13" s="321"/>
      <c r="J13" s="330"/>
      <c r="K13" s="330"/>
      <c r="L13" s="330"/>
      <c r="M13" s="343"/>
      <c r="N13" s="343"/>
      <c r="O13" s="343"/>
      <c r="P13" s="343"/>
      <c r="Q13" s="343"/>
      <c r="R13" s="344"/>
      <c r="S13" s="24"/>
    </row>
    <row r="14" spans="1:19" ht="19.5" customHeight="1">
      <c r="A14" s="24"/>
      <c r="B14" s="325"/>
      <c r="C14" s="321" t="s">
        <v>237</v>
      </c>
      <c r="D14" s="321"/>
      <c r="E14" s="321"/>
      <c r="F14" s="321"/>
      <c r="G14" s="321"/>
      <c r="H14" s="321"/>
      <c r="I14" s="321"/>
      <c r="J14" s="332"/>
      <c r="K14" s="332"/>
      <c r="L14" s="332"/>
      <c r="M14" s="343"/>
      <c r="N14" s="343"/>
      <c r="O14" s="343"/>
      <c r="P14" s="343"/>
      <c r="Q14" s="343"/>
      <c r="R14" s="344"/>
      <c r="S14" s="24"/>
    </row>
    <row r="15" spans="1:19" ht="27.75" customHeight="1" thickBot="1">
      <c r="A15" s="24"/>
      <c r="B15" s="325"/>
      <c r="C15" s="334" t="s">
        <v>238</v>
      </c>
      <c r="D15" s="334"/>
      <c r="E15" s="334"/>
      <c r="F15" s="334"/>
      <c r="G15" s="334"/>
      <c r="H15" s="334"/>
      <c r="I15" s="334"/>
      <c r="J15" s="345"/>
      <c r="K15" s="345"/>
      <c r="L15" s="345"/>
      <c r="M15" s="347"/>
      <c r="N15" s="347"/>
      <c r="O15" s="347"/>
      <c r="P15" s="347"/>
      <c r="Q15" s="347"/>
      <c r="R15" s="348"/>
      <c r="S15" s="24"/>
    </row>
    <row r="16" spans="1:19">
      <c r="A16" s="24"/>
      <c r="B16" s="325"/>
      <c r="C16" s="322" t="s">
        <v>239</v>
      </c>
      <c r="D16" s="322"/>
      <c r="E16" s="322"/>
      <c r="F16" s="322"/>
      <c r="G16" s="322"/>
      <c r="H16" s="322"/>
      <c r="I16" s="322"/>
      <c r="J16" s="346"/>
      <c r="K16" s="346"/>
      <c r="L16" s="346"/>
      <c r="M16" s="337"/>
      <c r="N16" s="337"/>
      <c r="O16" s="337"/>
      <c r="P16" s="337"/>
      <c r="Q16" s="337"/>
      <c r="R16" s="338"/>
      <c r="S16" s="24"/>
    </row>
    <row r="17" spans="1:19">
      <c r="A17" s="24"/>
      <c r="B17" s="325"/>
      <c r="C17" s="323" t="s">
        <v>240</v>
      </c>
      <c r="D17" s="323"/>
      <c r="E17" s="323"/>
      <c r="F17" s="323"/>
      <c r="G17" s="323"/>
      <c r="H17" s="323"/>
      <c r="I17" s="323"/>
      <c r="J17" s="339"/>
      <c r="K17" s="339"/>
      <c r="L17" s="339"/>
      <c r="M17" s="343"/>
      <c r="N17" s="343"/>
      <c r="O17" s="343"/>
      <c r="P17" s="343"/>
      <c r="Q17" s="343"/>
      <c r="R17" s="344"/>
      <c r="S17" s="24"/>
    </row>
    <row r="18" spans="1:19" ht="15.75" customHeight="1">
      <c r="A18" s="24"/>
      <c r="B18" s="325"/>
      <c r="C18" s="321" t="s">
        <v>241</v>
      </c>
      <c r="D18" s="321"/>
      <c r="E18" s="321"/>
      <c r="F18" s="321"/>
      <c r="G18" s="321"/>
      <c r="H18" s="321"/>
      <c r="I18" s="321"/>
      <c r="J18" s="339"/>
      <c r="K18" s="339"/>
      <c r="L18" s="339"/>
      <c r="M18" s="355"/>
      <c r="N18" s="355"/>
      <c r="O18" s="355"/>
      <c r="P18" s="355"/>
      <c r="Q18" s="355"/>
      <c r="R18" s="356"/>
      <c r="S18" s="24"/>
    </row>
    <row r="19" spans="1:19" ht="15.75" customHeight="1">
      <c r="A19" s="24"/>
      <c r="B19" s="325"/>
      <c r="C19" s="321" t="s">
        <v>242</v>
      </c>
      <c r="D19" s="321"/>
      <c r="E19" s="321"/>
      <c r="F19" s="321"/>
      <c r="G19" s="321"/>
      <c r="H19" s="321"/>
      <c r="I19" s="321"/>
      <c r="J19" s="339"/>
      <c r="K19" s="339"/>
      <c r="L19" s="339"/>
      <c r="M19" s="355"/>
      <c r="N19" s="355"/>
      <c r="O19" s="355"/>
      <c r="P19" s="355"/>
      <c r="Q19" s="355"/>
      <c r="R19" s="356"/>
      <c r="S19" s="24"/>
    </row>
    <row r="20" spans="1:19">
      <c r="A20" s="24"/>
      <c r="B20" s="325"/>
      <c r="C20" s="323" t="s">
        <v>243</v>
      </c>
      <c r="D20" s="323"/>
      <c r="E20" s="323"/>
      <c r="F20" s="323"/>
      <c r="G20" s="323"/>
      <c r="H20" s="323"/>
      <c r="I20" s="323"/>
      <c r="J20" s="339"/>
      <c r="K20" s="339"/>
      <c r="L20" s="339"/>
      <c r="M20" s="343"/>
      <c r="N20" s="343"/>
      <c r="O20" s="343"/>
      <c r="P20" s="343"/>
      <c r="Q20" s="343"/>
      <c r="R20" s="344"/>
      <c r="S20" s="24"/>
    </row>
    <row r="21" spans="1:19" ht="15.75" customHeight="1">
      <c r="A21" s="24"/>
      <c r="B21" s="325"/>
      <c r="C21" s="333" t="s">
        <v>244</v>
      </c>
      <c r="D21" s="333"/>
      <c r="E21" s="333"/>
      <c r="F21" s="333"/>
      <c r="G21" s="333"/>
      <c r="H21" s="333"/>
      <c r="I21" s="333"/>
      <c r="J21" s="339"/>
      <c r="K21" s="339"/>
      <c r="L21" s="339"/>
      <c r="M21" s="343" t="s">
        <v>86</v>
      </c>
      <c r="N21" s="343"/>
      <c r="O21" s="343"/>
      <c r="P21" s="343"/>
      <c r="Q21" s="343"/>
      <c r="R21" s="344"/>
      <c r="S21" s="24"/>
    </row>
    <row r="22" spans="1:19" ht="15.75" customHeight="1">
      <c r="A22" s="24"/>
      <c r="B22" s="325"/>
      <c r="C22" s="321" t="s">
        <v>245</v>
      </c>
      <c r="D22" s="321"/>
      <c r="E22" s="321"/>
      <c r="F22" s="321"/>
      <c r="G22" s="321"/>
      <c r="H22" s="321"/>
      <c r="I22" s="321"/>
      <c r="J22" s="339"/>
      <c r="K22" s="339"/>
      <c r="L22" s="339"/>
      <c r="M22" s="343" t="s">
        <v>246</v>
      </c>
      <c r="N22" s="343"/>
      <c r="O22" s="343"/>
      <c r="P22" s="343"/>
      <c r="Q22" s="343"/>
      <c r="R22" s="344"/>
      <c r="S22" s="24"/>
    </row>
    <row r="23" spans="1:19" ht="26.25" customHeight="1" thickBot="1">
      <c r="A23" s="24"/>
      <c r="B23" s="326"/>
      <c r="C23" s="357" t="s">
        <v>247</v>
      </c>
      <c r="D23" s="357"/>
      <c r="E23" s="357"/>
      <c r="F23" s="357"/>
      <c r="G23" s="357"/>
      <c r="H23" s="357"/>
      <c r="I23" s="357"/>
      <c r="J23" s="340" t="str">
        <f>IFERROR(J21/J7*1000,"Renseigner les cellules ''Surface d'entrée nette des capteurs'' et ''Production solaire utile prévisionnelle''")</f>
        <v>Renseigner les cellules ''Surface d'entrée nette des capteurs'' et ''Production solaire utile prévisionnelle''</v>
      </c>
      <c r="K23" s="340"/>
      <c r="L23" s="340"/>
      <c r="M23" s="353"/>
      <c r="N23" s="353"/>
      <c r="O23" s="353"/>
      <c r="P23" s="353"/>
      <c r="Q23" s="353"/>
      <c r="R23" s="354"/>
      <c r="S23" s="24"/>
    </row>
    <row r="24" spans="1:19" ht="28.5" customHeight="1">
      <c r="A24" s="24"/>
      <c r="B24" s="349" t="s">
        <v>248</v>
      </c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120"/>
      <c r="N24" s="120"/>
      <c r="O24" s="120"/>
      <c r="P24" s="120"/>
      <c r="Q24" s="120"/>
      <c r="R24" s="120"/>
      <c r="S24" s="24"/>
    </row>
    <row r="25" spans="1:19" ht="17.100000000000001" customHeight="1">
      <c r="C25" s="8"/>
    </row>
    <row r="26" spans="1:19">
      <c r="C26" s="8"/>
    </row>
    <row r="27" spans="1:19">
      <c r="B27" s="41" t="s">
        <v>184</v>
      </c>
    </row>
    <row r="28" spans="1:19" s="13" customFormat="1" ht="15.75" thickBot="1"/>
    <row r="29" spans="1:19" s="13" customFormat="1" ht="15.75" thickBot="1">
      <c r="E29" s="64"/>
      <c r="F29" s="70" t="s">
        <v>185</v>
      </c>
      <c r="G29" s="71" t="s">
        <v>186</v>
      </c>
      <c r="H29" s="71" t="s">
        <v>187</v>
      </c>
      <c r="I29" s="71" t="s">
        <v>188</v>
      </c>
      <c r="J29" s="71" t="s">
        <v>189</v>
      </c>
      <c r="K29" s="71" t="s">
        <v>190</v>
      </c>
      <c r="L29" s="71" t="s">
        <v>191</v>
      </c>
      <c r="M29" s="71" t="s">
        <v>192</v>
      </c>
      <c r="N29" s="71" t="s">
        <v>193</v>
      </c>
      <c r="O29" s="71" t="s">
        <v>194</v>
      </c>
      <c r="P29" s="71" t="s">
        <v>195</v>
      </c>
      <c r="Q29" s="72" t="s">
        <v>196</v>
      </c>
      <c r="R29" s="73" t="s">
        <v>197</v>
      </c>
    </row>
    <row r="30" spans="1:19" s="13" customFormat="1">
      <c r="B30" s="358" t="s">
        <v>249</v>
      </c>
      <c r="C30" s="359"/>
      <c r="D30" s="359"/>
      <c r="E30" s="360"/>
      <c r="F30" s="74">
        <f>F33-F32-F31</f>
        <v>4.6099999999999994</v>
      </c>
      <c r="G30" s="75">
        <f t="shared" ref="G30:Q30" si="0">G33-G32-G31</f>
        <v>7.89</v>
      </c>
      <c r="H30" s="75">
        <f t="shared" si="0"/>
        <v>13.549999999999999</v>
      </c>
      <c r="I30" s="75">
        <f t="shared" si="0"/>
        <v>11.23</v>
      </c>
      <c r="J30" s="75">
        <f t="shared" si="0"/>
        <v>7.9699999999999971</v>
      </c>
      <c r="K30" s="75">
        <f t="shared" si="0"/>
        <v>6.76</v>
      </c>
      <c r="L30" s="75">
        <f t="shared" si="0"/>
        <v>6.8900000000000006</v>
      </c>
      <c r="M30" s="75">
        <f t="shared" si="0"/>
        <v>6.26</v>
      </c>
      <c r="N30" s="75">
        <f t="shared" si="0"/>
        <v>7.3800000000000008</v>
      </c>
      <c r="O30" s="75">
        <f t="shared" si="0"/>
        <v>11.15</v>
      </c>
      <c r="P30" s="75">
        <f t="shared" si="0"/>
        <v>5.45</v>
      </c>
      <c r="Q30" s="76">
        <f t="shared" si="0"/>
        <v>3.42</v>
      </c>
      <c r="R30" s="77">
        <f>SUM(F30:Q30)</f>
        <v>92.56</v>
      </c>
    </row>
    <row r="31" spans="1:19" s="13" customFormat="1" ht="15.75" thickBot="1">
      <c r="B31" s="361" t="s">
        <v>250</v>
      </c>
      <c r="C31" s="362"/>
      <c r="D31" s="362"/>
      <c r="E31" s="363"/>
      <c r="F31" s="82">
        <f>IF(F33-F34-F32&lt;0,0,F33-F34-F32)</f>
        <v>0</v>
      </c>
      <c r="G31" s="83">
        <f t="shared" ref="G31:Q31" si="1">IF(G33-G34-G32&lt;0,0,G33-G34-G32)</f>
        <v>0</v>
      </c>
      <c r="H31" s="83">
        <f t="shared" si="1"/>
        <v>0</v>
      </c>
      <c r="I31" s="83">
        <f t="shared" si="1"/>
        <v>5.5399999999999991</v>
      </c>
      <c r="J31" s="83">
        <f t="shared" si="1"/>
        <v>12.450000000000001</v>
      </c>
      <c r="K31" s="83">
        <f t="shared" si="1"/>
        <v>13.840000000000002</v>
      </c>
      <c r="L31" s="83">
        <f t="shared" si="1"/>
        <v>15.620000000000001</v>
      </c>
      <c r="M31" s="83">
        <f t="shared" si="1"/>
        <v>15.06</v>
      </c>
      <c r="N31" s="83">
        <f t="shared" si="1"/>
        <v>9.1800000000000015</v>
      </c>
      <c r="O31" s="83">
        <f t="shared" si="1"/>
        <v>0.61999999999999922</v>
      </c>
      <c r="P31" s="83">
        <f t="shared" si="1"/>
        <v>0</v>
      </c>
      <c r="Q31" s="84">
        <f t="shared" si="1"/>
        <v>0</v>
      </c>
      <c r="R31" s="85"/>
    </row>
    <row r="32" spans="1:19" s="13" customFormat="1" ht="28.5" customHeight="1">
      <c r="B32" s="364" t="s">
        <v>251</v>
      </c>
      <c r="C32" s="365"/>
      <c r="D32" s="365"/>
      <c r="E32" s="366"/>
      <c r="F32" s="90">
        <v>2.68</v>
      </c>
      <c r="G32" s="91">
        <v>2.38</v>
      </c>
      <c r="H32" s="91">
        <v>2.4700000000000002</v>
      </c>
      <c r="I32" s="91">
        <v>1.91</v>
      </c>
      <c r="J32" s="91">
        <v>1.44</v>
      </c>
      <c r="K32" s="91">
        <v>1.25</v>
      </c>
      <c r="L32" s="91">
        <v>1.36</v>
      </c>
      <c r="M32" s="91">
        <v>1.19</v>
      </c>
      <c r="N32" s="91">
        <v>1.67</v>
      </c>
      <c r="O32" s="91">
        <v>1.92</v>
      </c>
      <c r="P32" s="91">
        <v>2.34</v>
      </c>
      <c r="Q32" s="92">
        <v>2.58</v>
      </c>
      <c r="R32" s="93">
        <f>SUM(F32:Q32)</f>
        <v>23.190000000000005</v>
      </c>
    </row>
    <row r="33" spans="2:19" s="13" customFormat="1" ht="15.75" thickBot="1">
      <c r="B33" s="367" t="s">
        <v>252</v>
      </c>
      <c r="C33" s="368"/>
      <c r="D33" s="368"/>
      <c r="E33" s="369"/>
      <c r="F33" s="94">
        <v>7.29</v>
      </c>
      <c r="G33" s="95">
        <v>10.27</v>
      </c>
      <c r="H33" s="95">
        <v>16.02</v>
      </c>
      <c r="I33" s="95">
        <v>18.68</v>
      </c>
      <c r="J33" s="95">
        <v>21.86</v>
      </c>
      <c r="K33" s="95">
        <v>21.85</v>
      </c>
      <c r="L33" s="95">
        <v>23.87</v>
      </c>
      <c r="M33" s="95">
        <v>22.51</v>
      </c>
      <c r="N33" s="95">
        <v>18.23</v>
      </c>
      <c r="O33" s="95">
        <v>13.69</v>
      </c>
      <c r="P33" s="95">
        <v>7.79</v>
      </c>
      <c r="Q33" s="96">
        <v>6</v>
      </c>
      <c r="R33" s="97">
        <f>SUM(F33:Q33)</f>
        <v>188.05999999999997</v>
      </c>
    </row>
    <row r="34" spans="2:19" s="13" customFormat="1" ht="15.75" thickBot="1">
      <c r="B34" s="370" t="s">
        <v>253</v>
      </c>
      <c r="C34" s="371"/>
      <c r="D34" s="371"/>
      <c r="E34" s="372"/>
      <c r="F34" s="86">
        <f>'Tableau 1 Besoins'!C46</f>
        <v>29.55</v>
      </c>
      <c r="G34" s="87">
        <f>'Tableau 1 Besoins'!D46</f>
        <v>21.24</v>
      </c>
      <c r="H34" s="87">
        <f>'Tableau 1 Besoins'!E46</f>
        <v>14.85</v>
      </c>
      <c r="I34" s="87">
        <f>'Tableau 1 Besoins'!F46</f>
        <v>11.23</v>
      </c>
      <c r="J34" s="87">
        <f>'Tableau 1 Besoins'!G46</f>
        <v>7.9699999999999989</v>
      </c>
      <c r="K34" s="87">
        <f>'Tableau 1 Besoins'!H46</f>
        <v>6.76</v>
      </c>
      <c r="L34" s="87">
        <f>'Tableau 1 Besoins'!I46</f>
        <v>6.8900000000000006</v>
      </c>
      <c r="M34" s="87">
        <f>'Tableau 1 Besoins'!J46</f>
        <v>6.26</v>
      </c>
      <c r="N34" s="87">
        <f>'Tableau 1 Besoins'!K46</f>
        <v>7.38</v>
      </c>
      <c r="O34" s="87">
        <f>'Tableau 1 Besoins'!L46</f>
        <v>11.15</v>
      </c>
      <c r="P34" s="87">
        <f>'Tableau 1 Besoins'!M46</f>
        <v>20.74</v>
      </c>
      <c r="Q34" s="88">
        <f>'Tableau 1 Besoins'!N46</f>
        <v>28.9</v>
      </c>
      <c r="R34" s="89">
        <f>SUM(F34:Q34)</f>
        <v>172.92000000000002</v>
      </c>
    </row>
    <row r="35" spans="2:19" s="13" customFormat="1" ht="33" customHeight="1" thickTop="1" thickBot="1">
      <c r="B35" s="350" t="s">
        <v>254</v>
      </c>
      <c r="C35" s="351"/>
      <c r="D35" s="351"/>
      <c r="E35" s="352"/>
      <c r="F35" s="78">
        <f t="shared" ref="F35:Q35" si="2">MIN(F33,F34)</f>
        <v>7.29</v>
      </c>
      <c r="G35" s="79">
        <f t="shared" si="2"/>
        <v>10.27</v>
      </c>
      <c r="H35" s="79">
        <f t="shared" si="2"/>
        <v>14.85</v>
      </c>
      <c r="I35" s="79">
        <f t="shared" si="2"/>
        <v>11.23</v>
      </c>
      <c r="J35" s="79">
        <f t="shared" si="2"/>
        <v>7.9699999999999989</v>
      </c>
      <c r="K35" s="79">
        <f t="shared" si="2"/>
        <v>6.76</v>
      </c>
      <c r="L35" s="79">
        <f t="shared" si="2"/>
        <v>6.8900000000000006</v>
      </c>
      <c r="M35" s="79">
        <f t="shared" si="2"/>
        <v>6.26</v>
      </c>
      <c r="N35" s="79">
        <f t="shared" si="2"/>
        <v>7.38</v>
      </c>
      <c r="O35" s="79">
        <f t="shared" si="2"/>
        <v>11.15</v>
      </c>
      <c r="P35" s="79">
        <f t="shared" si="2"/>
        <v>7.79</v>
      </c>
      <c r="Q35" s="80">
        <f t="shared" si="2"/>
        <v>6</v>
      </c>
      <c r="R35" s="81">
        <f>SUM(F35:Q35)</f>
        <v>103.84</v>
      </c>
      <c r="S35" s="69">
        <f>R35/R34</f>
        <v>0.60050890585241723</v>
      </c>
    </row>
  </sheetData>
  <mergeCells count="68">
    <mergeCell ref="B24:L24"/>
    <mergeCell ref="B35:E35"/>
    <mergeCell ref="M23:R23"/>
    <mergeCell ref="M17:R17"/>
    <mergeCell ref="M18:R18"/>
    <mergeCell ref="M19:R19"/>
    <mergeCell ref="M20:R20"/>
    <mergeCell ref="M21:R21"/>
    <mergeCell ref="M22:R22"/>
    <mergeCell ref="J20:L20"/>
    <mergeCell ref="C23:I23"/>
    <mergeCell ref="B30:E30"/>
    <mergeCell ref="B31:E31"/>
    <mergeCell ref="B32:E32"/>
    <mergeCell ref="B33:E33"/>
    <mergeCell ref="B34:E34"/>
    <mergeCell ref="M11:R11"/>
    <mergeCell ref="M12:R12"/>
    <mergeCell ref="M13:R13"/>
    <mergeCell ref="M14:R14"/>
    <mergeCell ref="M15:R15"/>
    <mergeCell ref="M16:R16"/>
    <mergeCell ref="J21:L21"/>
    <mergeCell ref="J22:L22"/>
    <mergeCell ref="J23:L23"/>
    <mergeCell ref="M4:R4"/>
    <mergeCell ref="M5:R5"/>
    <mergeCell ref="M6:R6"/>
    <mergeCell ref="M7:R7"/>
    <mergeCell ref="M8:R8"/>
    <mergeCell ref="M9:R9"/>
    <mergeCell ref="M10:R10"/>
    <mergeCell ref="J15:L15"/>
    <mergeCell ref="J16:L16"/>
    <mergeCell ref="J17:L17"/>
    <mergeCell ref="J18:L18"/>
    <mergeCell ref="J19:L19"/>
    <mergeCell ref="J9:L9"/>
    <mergeCell ref="J10:L10"/>
    <mergeCell ref="J11:L11"/>
    <mergeCell ref="J12:L12"/>
    <mergeCell ref="J13:L13"/>
    <mergeCell ref="J14:L14"/>
    <mergeCell ref="C19:I19"/>
    <mergeCell ref="C20:I20"/>
    <mergeCell ref="C21:I21"/>
    <mergeCell ref="C22:I22"/>
    <mergeCell ref="C15:I15"/>
    <mergeCell ref="J4:L4"/>
    <mergeCell ref="J5:L5"/>
    <mergeCell ref="J6:L6"/>
    <mergeCell ref="J7:L7"/>
    <mergeCell ref="J8:L8"/>
    <mergeCell ref="C4:I4"/>
    <mergeCell ref="C5:I5"/>
    <mergeCell ref="C6:I6"/>
    <mergeCell ref="C7:I7"/>
    <mergeCell ref="C8:I8"/>
    <mergeCell ref="C9:I9"/>
    <mergeCell ref="C16:I16"/>
    <mergeCell ref="C17:I17"/>
    <mergeCell ref="C18:I18"/>
    <mergeCell ref="B5:B23"/>
    <mergeCell ref="C10:I10"/>
    <mergeCell ref="C11:I11"/>
    <mergeCell ref="C12:I12"/>
    <mergeCell ref="C13:I13"/>
    <mergeCell ref="C14:I14"/>
  </mergeCells>
  <phoneticPr fontId="8" type="noConversion"/>
  <dataValidations count="2">
    <dataValidation type="list" allowBlank="1" showInputMessage="1" showErrorMessage="1" sqref="J13" xr:uid="{00000000-0002-0000-0300-000000000000}">
      <formula1>"OUI,NON"</formula1>
    </dataValidation>
    <dataValidation type="list" allowBlank="1" showInputMessage="1" showErrorMessage="1" sqref="M18:M19" xr:uid="{00000000-0002-0000-0300-000001000000}">
      <formula1>#REF!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Paramètres!$C$4:$C$9</xm:f>
          </x14:formula1>
          <xm:sqref>J9</xm:sqref>
        </x14:dataValidation>
        <x14:dataValidation type="list" allowBlank="1" showInputMessage="1" showErrorMessage="1" xr:uid="{00000000-0002-0000-0300-000003000000}">
          <x14:formula1>
            <xm:f>Paramètres!$D$4:$D$8</xm:f>
          </x14:formula1>
          <xm:sqref>J6</xm:sqref>
        </x14:dataValidation>
        <x14:dataValidation type="list" allowBlank="1" showInputMessage="1" showErrorMessage="1" xr:uid="{00000000-0002-0000-0300-000005000000}">
          <x14:formula1>
            <xm:f>Paramètres!$F$4:$F$13</xm:f>
          </x14:formula1>
          <xm:sqref>M21:R21</xm:sqref>
        </x14:dataValidation>
        <x14:dataValidation type="list" allowBlank="1" showInputMessage="1" showErrorMessage="1" xr:uid="{00000000-0002-0000-0300-000004000000}">
          <x14:formula1>
            <xm:f>Paramètres!$E$4:$E$17</xm:f>
          </x14:formula1>
          <xm:sqref>J5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>
    <tabColor theme="5" tint="-0.249977111117893"/>
  </sheetPr>
  <dimension ref="A1:IW32"/>
  <sheetViews>
    <sheetView zoomScale="115" zoomScaleNormal="115" workbookViewId="0"/>
  </sheetViews>
  <sheetFormatPr baseColWidth="10" defaultColWidth="11.42578125" defaultRowHeight="15"/>
  <cols>
    <col min="1" max="1" width="3.7109375" style="13" customWidth="1"/>
    <col min="2" max="2" width="5.28515625" style="13" customWidth="1"/>
    <col min="3" max="3" width="4.5703125" style="13" customWidth="1"/>
    <col min="4" max="4" width="55.140625" style="13" bestFit="1" customWidth="1"/>
    <col min="5" max="5" width="14.5703125" style="13" customWidth="1"/>
    <col min="6" max="6" width="29.42578125" style="13" customWidth="1"/>
    <col min="7" max="7" width="42.140625" style="13" bestFit="1" customWidth="1"/>
    <col min="8" max="8" width="11.42578125" style="13"/>
    <col min="9" max="9" width="18.140625" style="13" customWidth="1"/>
    <col min="10" max="16384" width="11.42578125" style="13"/>
  </cols>
  <sheetData>
    <row r="1" spans="1:257" s="100" customFormat="1" ht="15.75">
      <c r="A1" s="23" t="s">
        <v>255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257" ht="15.75" thickBot="1"/>
    <row r="3" spans="1:257" ht="23.25" customHeight="1" thickBot="1">
      <c r="E3" s="9" t="s">
        <v>256</v>
      </c>
      <c r="F3" s="9" t="s">
        <v>223</v>
      </c>
      <c r="G3" s="18" t="s">
        <v>257</v>
      </c>
    </row>
    <row r="4" spans="1:257" ht="33.75" customHeight="1">
      <c r="B4" s="379" t="s">
        <v>258</v>
      </c>
      <c r="C4" s="376" t="s">
        <v>259</v>
      </c>
      <c r="D4" s="159" t="s">
        <v>260</v>
      </c>
      <c r="E4" s="98" t="s">
        <v>261</v>
      </c>
      <c r="F4" s="108" t="str">
        <f>IFERROR(IF(COUNT('Tableau 2 Installation'!J16)=1,'Tableau 2 Installation'!J16,"Renseigner ''Production solaire brute prévisionnelle'' de l'onglet ''Tableau 2 Installation''"),"Renseigner ''Production solaire brute prévisionnelle'' de l'onglet ''Tableau 2 Installation''")</f>
        <v>Renseigner ''Production solaire brute prévisionnelle'' de l'onglet ''Tableau 2 Installation''</v>
      </c>
      <c r="G4" s="126"/>
    </row>
    <row r="5" spans="1:257" ht="33.75" customHeight="1">
      <c r="B5" s="380"/>
      <c r="C5" s="377"/>
      <c r="D5" s="148" t="s">
        <v>262</v>
      </c>
      <c r="E5" s="98" t="s">
        <v>261</v>
      </c>
      <c r="F5" s="121" t="str">
        <f>IFERROR(IF(COUNT('Tableau 2 Installation'!J21)=1,'Tableau 2 Installation'!J21,"Renseigner ''Production solaire utile prévisionnelle'' de l'onglet ''Tableau 2 Installation''"),"Renseigner ''Production solaire utile prévisionnelle'' de l'onglet ''Tableau 2 Installation''")</f>
        <v>Renseigner ''Production solaire utile prévisionnelle'' de l'onglet ''Tableau 2 Installation''</v>
      </c>
      <c r="G5" s="126"/>
      <c r="H5" s="101"/>
    </row>
    <row r="6" spans="1:257" ht="33.75" customHeight="1">
      <c r="B6" s="380"/>
      <c r="C6" s="377"/>
      <c r="D6" s="148" t="s">
        <v>263</v>
      </c>
      <c r="E6" s="98" t="s">
        <v>261</v>
      </c>
      <c r="F6" s="108" t="str">
        <f>IFERROR(IF(COUNT('Tableau 2 Installation'!J22)=1,'Tableau 2 Installation'!J22,"Renseigner ''Cas échéant : décharge de la boucle solaire'' de l'onglet ''Tableau 2 Installation''"),"Renseigner ''Cas échéant : décharge de la boucle solaire'' de l'onglet ''Tableau 2 Installation''")</f>
        <v>Renseigner ''Cas échéant : décharge de la boucle solaire'' de l'onglet ''Tableau 2 Installation''</v>
      </c>
      <c r="G6" s="126"/>
      <c r="H6" s="101"/>
    </row>
    <row r="7" spans="1:257" ht="33.75" customHeight="1">
      <c r="B7" s="380"/>
      <c r="C7" s="377"/>
      <c r="D7" s="224" t="s">
        <v>264</v>
      </c>
      <c r="E7" s="99" t="s">
        <v>261</v>
      </c>
      <c r="F7" s="226" t="str">
        <f>IF(COUNT('Tableau 2 Installation'!J18:L19)&lt;&gt;2,"Renseigner les 2 cellules ''Consommation des auxiliaires circuit primaire &amp; secondaire boucle solaire'' du ''Tableau 2 Installation''",SUM('Tableau 2 Installation'!J18:J19))</f>
        <v>Renseigner les 2 cellules ''Consommation des auxiliaires circuit primaire &amp; secondaire boucle solaire'' du ''Tableau 2 Installation''</v>
      </c>
      <c r="G7" s="127"/>
      <c r="H7" s="101"/>
    </row>
    <row r="8" spans="1:257" ht="33.75" customHeight="1">
      <c r="B8" s="380"/>
      <c r="C8" s="377"/>
      <c r="D8" s="225" t="s">
        <v>265</v>
      </c>
      <c r="E8" s="98" t="s">
        <v>261</v>
      </c>
      <c r="F8" s="110" t="str">
        <f>IF(COUNT(F5)=0,"Renseigner la cellule ''Total Production Solaire utile''",IFERROR(F5/IF(COUNT('Tableau 1 Besoins'!C28)=1,'Tableau 1 Besoins'!C28,IF(COUNT('Tableau 1 Besoins'!C9)=1,'Tableau 1 Besoins'!C9,"Renseigner la cellule ''Total Production Solaire utile'' et toutes les cases ''Chauffage/ECS'''' du tableau 1a ou 1b")),"Renseigner toutes les cases ''Chauffage/ECS''"))</f>
        <v>Renseigner la cellule ''Total Production Solaire utile''</v>
      </c>
      <c r="G8" s="127"/>
      <c r="H8" s="101"/>
    </row>
    <row r="9" spans="1:257" ht="33.75" customHeight="1">
      <c r="B9" s="380"/>
      <c r="C9" s="377"/>
      <c r="D9" s="224" t="s">
        <v>293</v>
      </c>
      <c r="E9" s="99" t="s">
        <v>261</v>
      </c>
      <c r="F9" s="109" t="str">
        <f>IFERROR(1-F27/E27,"Renseigner le(s) tableau(x) ''Production d'Appoint_x''")</f>
        <v>Renseigner le(s) tableau(x) ''Production d'Appoint_x''</v>
      </c>
      <c r="G9" s="127"/>
      <c r="H9" s="101"/>
    </row>
    <row r="10" spans="1:257" ht="33.75" customHeight="1" thickBot="1">
      <c r="B10" s="380"/>
      <c r="C10" s="378"/>
      <c r="D10" s="149" t="s">
        <v>266</v>
      </c>
      <c r="E10" s="99" t="s">
        <v>261</v>
      </c>
      <c r="F10" s="107" t="str">
        <f>IF(COUNT(F5)=0,"Renseigner ''Production solaire utile prévisionnelle'' de l'onglet ''Tableau 2 Installation''",IFERROR(F7/F5,"Renseigner la cellule ''Waux''"))</f>
        <v>Renseigner ''Production solaire utile prévisionnelle'' de l'onglet ''Tableau 2 Installation''</v>
      </c>
      <c r="G10" s="127"/>
      <c r="H10" s="101"/>
    </row>
    <row r="11" spans="1:257" ht="15" customHeight="1">
      <c r="B11" s="380"/>
      <c r="C11" s="385" t="s">
        <v>267</v>
      </c>
      <c r="D11" s="150" t="s">
        <v>268</v>
      </c>
      <c r="E11" s="102"/>
      <c r="F11" s="111"/>
      <c r="G11" s="128"/>
      <c r="H11" s="101"/>
    </row>
    <row r="12" spans="1:257">
      <c r="B12" s="380"/>
      <c r="C12" s="386"/>
      <c r="D12" s="151" t="s">
        <v>269</v>
      </c>
      <c r="E12" s="106"/>
      <c r="F12" s="106"/>
      <c r="G12" s="127"/>
    </row>
    <row r="13" spans="1:257">
      <c r="B13" s="380"/>
      <c r="C13" s="386"/>
      <c r="D13" s="151" t="s">
        <v>270</v>
      </c>
      <c r="E13" s="11" t="s">
        <v>271</v>
      </c>
      <c r="F13" s="11" t="s">
        <v>271</v>
      </c>
      <c r="G13" s="126"/>
    </row>
    <row r="14" spans="1:257" ht="22.5">
      <c r="B14" s="380"/>
      <c r="C14" s="386"/>
      <c r="D14" s="152" t="s">
        <v>272</v>
      </c>
      <c r="E14" s="11"/>
      <c r="F14" s="11"/>
      <c r="G14" s="129"/>
    </row>
    <row r="15" spans="1:257">
      <c r="B15" s="380"/>
      <c r="C15" s="386"/>
      <c r="D15" s="153" t="s">
        <v>273</v>
      </c>
      <c r="E15" s="103"/>
      <c r="F15" s="103"/>
      <c r="G15" s="130"/>
    </row>
    <row r="16" spans="1:257" ht="15.75" thickBot="1">
      <c r="B16" s="380"/>
      <c r="C16" s="386"/>
      <c r="D16" s="154" t="s">
        <v>274</v>
      </c>
      <c r="E16" s="104" t="str">
        <f t="shared" ref="E16:F16" si="0">IFERROR(E11/E14,"")</f>
        <v/>
      </c>
      <c r="F16" s="104" t="str">
        <f t="shared" si="0"/>
        <v/>
      </c>
      <c r="G16" s="127"/>
    </row>
    <row r="17" spans="2:18" ht="15" customHeight="1">
      <c r="B17" s="380"/>
      <c r="C17" s="382" t="s">
        <v>275</v>
      </c>
      <c r="D17" s="150" t="s">
        <v>276</v>
      </c>
      <c r="E17" s="102"/>
      <c r="F17" s="111"/>
      <c r="G17" s="131"/>
    </row>
    <row r="18" spans="2:18">
      <c r="B18" s="380"/>
      <c r="C18" s="383"/>
      <c r="D18" s="151" t="s">
        <v>277</v>
      </c>
      <c r="E18" s="106"/>
      <c r="F18" s="106"/>
      <c r="G18" s="132"/>
    </row>
    <row r="19" spans="2:18">
      <c r="B19" s="380"/>
      <c r="C19" s="383"/>
      <c r="D19" s="151" t="s">
        <v>278</v>
      </c>
      <c r="E19" s="11" t="s">
        <v>88</v>
      </c>
      <c r="F19" s="11" t="s">
        <v>88</v>
      </c>
      <c r="G19" s="132"/>
    </row>
    <row r="20" spans="2:18" ht="22.5">
      <c r="B20" s="380"/>
      <c r="C20" s="383"/>
      <c r="D20" s="152" t="s">
        <v>272</v>
      </c>
      <c r="E20" s="11"/>
      <c r="F20" s="11"/>
      <c r="G20" s="129"/>
    </row>
    <row r="21" spans="2:18">
      <c r="B21" s="380"/>
      <c r="C21" s="384"/>
      <c r="D21" s="153" t="s">
        <v>279</v>
      </c>
      <c r="E21" s="103"/>
      <c r="F21" s="103"/>
      <c r="G21" s="130"/>
    </row>
    <row r="22" spans="2:18" ht="15.75" thickBot="1">
      <c r="B22" s="380"/>
      <c r="C22" s="384"/>
      <c r="D22" s="154" t="s">
        <v>280</v>
      </c>
      <c r="E22" s="105" t="str">
        <f>IFERROR(E17/E20,"")</f>
        <v/>
      </c>
      <c r="F22" s="105" t="str">
        <f>IFERROR(F17/F20,"")</f>
        <v/>
      </c>
      <c r="G22" s="133"/>
    </row>
    <row r="23" spans="2:18">
      <c r="B23" s="380"/>
      <c r="C23" s="387" t="s">
        <v>281</v>
      </c>
      <c r="D23" s="155" t="s">
        <v>282</v>
      </c>
      <c r="E23" s="112">
        <f>IFERROR(E11+E17,"")</f>
        <v>0</v>
      </c>
      <c r="F23" s="112" t="str">
        <f>IFERROR(F5+F11+F17,"")</f>
        <v/>
      </c>
      <c r="G23" s="134"/>
    </row>
    <row r="24" spans="2:18" ht="33.75">
      <c r="B24" s="380"/>
      <c r="C24" s="388"/>
      <c r="D24" s="156" t="s">
        <v>283</v>
      </c>
      <c r="E24" s="113" t="s">
        <v>284</v>
      </c>
      <c r="F24" s="121" t="str">
        <f>IFERROR(F6,"")</f>
        <v>Renseigner ''Cas échéant : décharge de la boucle solaire'' de l'onglet ''Tableau 2 Installation''</v>
      </c>
      <c r="G24" s="126"/>
    </row>
    <row r="25" spans="2:18">
      <c r="B25" s="380"/>
      <c r="C25" s="388"/>
      <c r="D25" s="152" t="s">
        <v>285</v>
      </c>
      <c r="E25" s="114">
        <f>IFERROR(E12+E18,"")</f>
        <v>0</v>
      </c>
      <c r="F25" s="114">
        <f>IFERROR(F12+F18,"")</f>
        <v>0</v>
      </c>
      <c r="G25" s="126"/>
    </row>
    <row r="26" spans="2:18">
      <c r="B26" s="380"/>
      <c r="C26" s="388"/>
      <c r="D26" s="152" t="s">
        <v>286</v>
      </c>
      <c r="E26" s="115">
        <f>IFERROR(E15+E21,"")</f>
        <v>0</v>
      </c>
      <c r="F26" s="115">
        <f>IFERROR('Tableau 2 Installation'!J18+'Tableau 2 Installation'!J19+'Tableau 3 Production'!F15+'Tableau 3 Production'!F21,"")</f>
        <v>0</v>
      </c>
      <c r="G26" s="129"/>
    </row>
    <row r="27" spans="2:18" ht="15" customHeight="1">
      <c r="B27" s="380"/>
      <c r="C27" s="388"/>
      <c r="D27" s="157" t="s">
        <v>287</v>
      </c>
      <c r="E27" s="113" t="str">
        <f>IFERROR(E16+E22,"")</f>
        <v/>
      </c>
      <c r="F27" s="113" t="str">
        <f>IFERROR(F16+F22,"")</f>
        <v/>
      </c>
      <c r="G27" s="135"/>
    </row>
    <row r="28" spans="2:18" ht="15.75" thickBot="1">
      <c r="B28" s="380"/>
      <c r="C28" s="388"/>
      <c r="D28" s="158" t="s">
        <v>288</v>
      </c>
      <c r="E28" s="10" t="s">
        <v>261</v>
      </c>
      <c r="F28" s="10" t="str">
        <f>IFERROR((F5+F6)/(F23+F24),"")</f>
        <v/>
      </c>
      <c r="G28" s="126"/>
    </row>
    <row r="29" spans="2:18" ht="26.25" customHeight="1" thickBot="1">
      <c r="B29" s="380"/>
      <c r="C29" s="388"/>
      <c r="D29" s="158" t="s">
        <v>289</v>
      </c>
      <c r="E29" s="27" t="s">
        <v>261</v>
      </c>
      <c r="F29" s="27" t="str">
        <f>IFERROR((F5+F6-F26*2.32)/(F23+F24),"")</f>
        <v/>
      </c>
      <c r="G29" s="136"/>
      <c r="I29" s="373" t="str">
        <f>E3</f>
        <v>Situation actuelle</v>
      </c>
      <c r="J29" s="374"/>
      <c r="K29" s="374"/>
      <c r="L29" s="373" t="str">
        <f>F3</f>
        <v>Situation future
 (projet EnR)</v>
      </c>
      <c r="M29" s="374"/>
      <c r="N29" s="375"/>
    </row>
    <row r="30" spans="2:18" ht="23.25" thickBot="1">
      <c r="B30" s="380"/>
      <c r="C30" s="389"/>
      <c r="D30" s="391" t="s">
        <v>290</v>
      </c>
      <c r="E30" s="393" t="s">
        <v>261</v>
      </c>
      <c r="F30" s="395" t="str">
        <f>IFERROR(F5/0.9*0.187*$L$31+F5/0.9*0.266*$M$31+F5/0.9*0.345*$N$31,"Renseigner le tableau")</f>
        <v>Renseigner le tableau</v>
      </c>
      <c r="G30" s="397"/>
      <c r="H30" s="119" t="s">
        <v>291</v>
      </c>
      <c r="I30" s="116" t="str">
        <f>Paramètres!C27</f>
        <v>Gaz Naturel</v>
      </c>
      <c r="J30" s="117" t="str">
        <f>Paramètres!C28</f>
        <v>Fioul</v>
      </c>
      <c r="K30" s="143" t="str">
        <f>Paramètres!C29</f>
        <v>Charbon</v>
      </c>
      <c r="L30" s="116" t="str">
        <f>Paramètres!C27</f>
        <v>Gaz Naturel</v>
      </c>
      <c r="M30" s="117" t="str">
        <f>Paramètres!C28</f>
        <v>Fioul</v>
      </c>
      <c r="N30" s="118" t="str">
        <f>Paramètres!C29</f>
        <v>Charbon</v>
      </c>
    </row>
    <row r="31" spans="2:18" ht="42" customHeight="1" thickBot="1">
      <c r="B31" s="381"/>
      <c r="C31" s="390"/>
      <c r="D31" s="392"/>
      <c r="E31" s="394"/>
      <c r="F31" s="396"/>
      <c r="G31" s="398"/>
      <c r="H31" s="119" t="s">
        <v>292</v>
      </c>
      <c r="I31" s="145" t="str">
        <f>IFERROR(VLOOKUP(I30,Paramètres!$C$27:$E$32,3,FALSE),"Renseigner le tableau")</f>
        <v>Renseigner le tableau</v>
      </c>
      <c r="J31" s="144" t="str">
        <f>IFERROR(VLOOKUP(J30,Paramètres!$C$27:$E$32,3,FALSE),"Renseigner le tableau")</f>
        <v>Renseigner le tableau</v>
      </c>
      <c r="K31" s="147" t="str">
        <f>IFERROR(VLOOKUP(K30,Paramètres!$C$27:$E$32,3,FALSE),"Renseigner le tableau")</f>
        <v>Renseigner le tableau</v>
      </c>
      <c r="L31" s="145" t="str">
        <f>IFERROR(VLOOKUP(L30,Paramètres!$C$27:$G$32,5,FALSE),"Renseigner le tableau")</f>
        <v>Renseigner le tableau</v>
      </c>
      <c r="M31" s="144" t="str">
        <f>IFERROR(VLOOKUP(M30,Paramètres!$C$27:$G$32,5,FALSE),"Renseigner le tableau")</f>
        <v>Renseigner le tableau</v>
      </c>
      <c r="N31" s="146" t="str">
        <f>IFERROR(VLOOKUP(N30,Paramètres!$C$27:$G$32,5,FALSE),"Renseigner le tableau")</f>
        <v>Renseigner le tableau</v>
      </c>
    </row>
    <row r="32" spans="2:18" ht="25.5" customHeight="1">
      <c r="B32" s="349" t="s">
        <v>248</v>
      </c>
      <c r="C32" s="349"/>
      <c r="D32" s="349"/>
      <c r="E32" s="349"/>
      <c r="F32" s="349"/>
      <c r="G32" s="227"/>
      <c r="H32" s="227"/>
      <c r="I32" s="227"/>
      <c r="J32" s="227"/>
      <c r="K32" s="227"/>
      <c r="L32" s="227"/>
      <c r="M32" s="120"/>
      <c r="N32" s="120"/>
      <c r="O32" s="120"/>
      <c r="P32" s="120"/>
      <c r="Q32" s="120"/>
      <c r="R32" s="120"/>
    </row>
  </sheetData>
  <mergeCells count="12">
    <mergeCell ref="B32:F32"/>
    <mergeCell ref="I29:K29"/>
    <mergeCell ref="L29:N29"/>
    <mergeCell ref="C4:C10"/>
    <mergeCell ref="B4:B31"/>
    <mergeCell ref="C17:C22"/>
    <mergeCell ref="C11:C16"/>
    <mergeCell ref="C23:C31"/>
    <mergeCell ref="D30:D31"/>
    <mergeCell ref="E30:E31"/>
    <mergeCell ref="F30:F31"/>
    <mergeCell ref="G30:G31"/>
  </mergeCells>
  <phoneticPr fontId="8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Paramètres!$G$4:$G$9</xm:f>
          </x14:formula1>
          <xm:sqref>G20:G21 G14:G15 G26</xm:sqref>
        </x14:dataValidation>
        <x14:dataValidation type="list" allowBlank="1" showInputMessage="1" showErrorMessage="1" xr:uid="{00000000-0002-0000-0400-000001000000}">
          <x14:formula1>
            <xm:f>Paramètres!$B$4:$B$10</xm:f>
          </x14:formula1>
          <xm:sqref>E19:F19 E13:F13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Données efficacité energétique</vt:lpstr>
      <vt:lpstr>Paramètres</vt:lpstr>
      <vt:lpstr>Accueil</vt:lpstr>
      <vt:lpstr>Tableau 1 Besoins</vt:lpstr>
      <vt:lpstr>Tableau 2 Installation</vt:lpstr>
      <vt:lpstr>Tableau 3 Production</vt:lpstr>
      <vt:lpstr>Liste_Besoins</vt:lpstr>
      <vt:lpstr>Liste_Substitution</vt:lpstr>
    </vt:vector>
  </TitlesOfParts>
  <Manager/>
  <Company>ADEME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THOUIN Simon</dc:creator>
  <cp:keywords/>
  <dc:description/>
  <cp:lastModifiedBy>GAWSEWITCH Christophe</cp:lastModifiedBy>
  <cp:revision/>
  <dcterms:created xsi:type="dcterms:W3CDTF">2016-10-17T15:51:36Z</dcterms:created>
  <dcterms:modified xsi:type="dcterms:W3CDTF">2023-12-20T14:47:40Z</dcterms:modified>
  <cp:category/>
  <cp:contentStatus/>
</cp:coreProperties>
</file>